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nahe\Desktop\Profill\PSH-RMBH\Produto 4\RC001\Volume 3\"/>
    </mc:Choice>
  </mc:AlternateContent>
  <xr:revisionPtr revIDLastSave="0" documentId="13_ncr:1_{7F59FC0D-AF6A-4C9A-86EB-91D1CA603706}" xr6:coauthVersionLast="47" xr6:coauthVersionMax="47" xr10:uidLastSave="{00000000-0000-0000-0000-000000000000}"/>
  <bookViews>
    <workbookView xWindow="-108" yWindow="-108" windowWidth="23256" windowHeight="12456" xr2:uid="{122D98A2-2ABA-47F4-927C-7E9F65D44336}"/>
  </bookViews>
  <sheets>
    <sheet name="Resumo" sheetId="2" r:id="rId1"/>
    <sheet name="Consulta" sheetId="19" r:id="rId2"/>
    <sheet name="Eixos" sheetId="21" r:id="rId3"/>
    <sheet name="Programas" sheetId="22" r:id="rId4"/>
    <sheet name="Ações" sheetId="23" r:id="rId5"/>
    <sheet name="Gestão" sheetId="13" r:id="rId6"/>
    <sheet name="Ação 2.1.1" sheetId="15" r:id="rId7"/>
    <sheet name="Ação 2.1.2" sheetId="14" r:id="rId8"/>
    <sheet name="Ação 2.1.3" sheetId="16" r:id="rId9"/>
    <sheet name="Ação 2.1.4" sheetId="3" r:id="rId10"/>
    <sheet name="Ação 3.1.1" sheetId="4" r:id="rId11"/>
    <sheet name="Ação 3.1.2" sheetId="7" r:id="rId12"/>
    <sheet name="Ação 3.1.3" sheetId="6" r:id="rId13"/>
    <sheet name="Ação 3.1.4" sheetId="20" r:id="rId14"/>
    <sheet name="Ação 3.2.2" sheetId="17" r:id="rId15"/>
    <sheet name="Ação 3.3.2" sheetId="9" r:id="rId16"/>
    <sheet name="Ação 3.3.3" sheetId="5" r:id="rId17"/>
    <sheet name="Ação 4.1.4" sheetId="11" r:id="rId18"/>
    <sheet name="Ação 4.2.3 " sheetId="24" r:id="rId19"/>
    <sheet name="Ação 4.2.4" sheetId="12" r:id="rId20"/>
  </sheets>
  <definedNames>
    <definedName name="_xlnm._FilterDatabase" localSheetId="15" hidden="1">'Ação 3.3.2'!$A$23:$N$34</definedName>
    <definedName name="_xlnm._FilterDatabase" localSheetId="18" hidden="1">'Ação 4.2.3 '!$A$20:$T$45</definedName>
    <definedName name="_xlnm._FilterDatabase" localSheetId="0" hidden="1">Resumo!$A$1:$AP$121</definedName>
  </definedNames>
  <calcPr calcId="191029" calcOnSave="0"/>
  <pivotCaches>
    <pivotCache cacheId="0" r:id="rId21"/>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9" i="24" l="1"/>
  <c r="G19" i="9"/>
  <c r="G25" i="20"/>
  <c r="H26" i="23"/>
  <c r="H27" i="23"/>
  <c r="H28" i="23"/>
  <c r="H29" i="23"/>
  <c r="H30" i="23"/>
  <c r="H31" i="23"/>
  <c r="H32" i="23"/>
  <c r="H33" i="23"/>
  <c r="H34" i="23"/>
  <c r="H35" i="23"/>
  <c r="H36" i="23"/>
  <c r="G26" i="23"/>
  <c r="G27" i="23"/>
  <c r="G28" i="23"/>
  <c r="G29" i="23"/>
  <c r="G30" i="23"/>
  <c r="G31" i="23"/>
  <c r="G32" i="23"/>
  <c r="G33" i="23"/>
  <c r="G34" i="23"/>
  <c r="G35" i="23"/>
  <c r="G36" i="23"/>
  <c r="G25" i="23"/>
  <c r="H25" i="23" s="1"/>
  <c r="H15" i="23"/>
  <c r="H16" i="23"/>
  <c r="H17" i="23"/>
  <c r="H18" i="23"/>
  <c r="H19" i="23"/>
  <c r="H20" i="23"/>
  <c r="H21" i="23"/>
  <c r="H22" i="23"/>
  <c r="H23" i="23"/>
  <c r="H24" i="23"/>
  <c r="G15" i="23"/>
  <c r="G16" i="23"/>
  <c r="G17" i="23"/>
  <c r="G18" i="23"/>
  <c r="G19" i="23"/>
  <c r="G20" i="23"/>
  <c r="G21" i="23"/>
  <c r="G22" i="23"/>
  <c r="G23" i="23"/>
  <c r="G24" i="23"/>
  <c r="G14" i="23"/>
  <c r="H14" i="23" s="1"/>
  <c r="H7" i="23"/>
  <c r="H8" i="23"/>
  <c r="H9" i="23"/>
  <c r="H10" i="23"/>
  <c r="H11" i="23"/>
  <c r="H12" i="23"/>
  <c r="H13" i="23"/>
  <c r="H6" i="23"/>
  <c r="G7" i="23"/>
  <c r="G8" i="23"/>
  <c r="G9" i="23"/>
  <c r="G10" i="23"/>
  <c r="G11" i="23"/>
  <c r="G12" i="23"/>
  <c r="G13" i="23"/>
  <c r="G6" i="23"/>
  <c r="G5" i="23"/>
  <c r="H5" i="23" s="1"/>
  <c r="G3" i="23"/>
  <c r="G4" i="23"/>
  <c r="G2" i="23"/>
  <c r="H2" i="23" s="1"/>
  <c r="H3" i="23"/>
  <c r="H4" i="23"/>
  <c r="E20" i="21" l="1"/>
  <c r="E21" i="21"/>
  <c r="E22" i="21"/>
  <c r="E23" i="21"/>
  <c r="E19" i="21"/>
  <c r="C17" i="17" l="1"/>
  <c r="C19" i="17"/>
  <c r="D37" i="20" l="1"/>
  <c r="D36" i="20"/>
  <c r="D35" i="20"/>
  <c r="D34" i="20"/>
  <c r="D33" i="20"/>
  <c r="D32" i="20"/>
  <c r="D31" i="20"/>
  <c r="G31" i="20" l="1"/>
  <c r="E31" i="20"/>
  <c r="F31" i="20" s="1"/>
  <c r="E37" i="20"/>
  <c r="F37" i="20" s="1"/>
  <c r="G37" i="20"/>
  <c r="G33" i="20"/>
  <c r="E33" i="20"/>
  <c r="F33" i="20" s="1"/>
  <c r="H33" i="20" s="1"/>
  <c r="E34" i="20"/>
  <c r="F34" i="20" s="1"/>
  <c r="G34" i="20"/>
  <c r="E35" i="20"/>
  <c r="F35" i="20" s="1"/>
  <c r="G35" i="20"/>
  <c r="E36" i="20"/>
  <c r="F36" i="20" s="1"/>
  <c r="H36" i="20" s="1"/>
  <c r="G36" i="20"/>
  <c r="G32" i="20"/>
  <c r="E32" i="20"/>
  <c r="F32" i="20" s="1"/>
  <c r="H32" i="20" s="1"/>
  <c r="H34" i="20" l="1"/>
  <c r="H37" i="20"/>
  <c r="H35" i="20"/>
  <c r="H31" i="20"/>
  <c r="B42" i="20" s="1"/>
  <c r="L120" i="2"/>
  <c r="L119" i="2"/>
  <c r="L117" i="2"/>
  <c r="L116" i="2"/>
  <c r="L115" i="2"/>
  <c r="L114" i="2"/>
  <c r="L111" i="2"/>
  <c r="L110" i="2"/>
  <c r="L104" i="2"/>
  <c r="L103" i="2"/>
  <c r="L102" i="2"/>
  <c r="L99" i="2"/>
  <c r="L100" i="2"/>
  <c r="L97" i="2"/>
  <c r="L95" i="2"/>
  <c r="L96" i="2"/>
  <c r="L92" i="2"/>
  <c r="L91" i="2"/>
  <c r="L90" i="2"/>
  <c r="L89" i="2"/>
  <c r="L88" i="2"/>
  <c r="L87" i="2"/>
  <c r="L86" i="2"/>
  <c r="L85" i="2"/>
  <c r="L83" i="2"/>
  <c r="L82" i="2"/>
  <c r="L81" i="2"/>
  <c r="L80" i="2"/>
  <c r="L78" i="2"/>
  <c r="L75" i="2"/>
  <c r="L74" i="2"/>
  <c r="L62" i="2"/>
  <c r="L61" i="2"/>
  <c r="L60" i="2"/>
  <c r="L59" i="2"/>
  <c r="L58" i="2"/>
  <c r="B40" i="20" l="1"/>
  <c r="L57" i="2" s="1"/>
  <c r="B41" i="20"/>
  <c r="A13" i="17"/>
  <c r="B10" i="17"/>
  <c r="F7" i="17"/>
  <c r="C10" i="17"/>
  <c r="L69" i="2"/>
  <c r="L68" i="2"/>
  <c r="K24" i="9"/>
  <c r="M24" i="9" s="1"/>
  <c r="K25" i="9"/>
  <c r="M25" i="9" s="1"/>
  <c r="K26" i="9"/>
  <c r="M26" i="9" s="1"/>
  <c r="K27" i="9"/>
  <c r="M27" i="9" s="1"/>
  <c r="K28" i="9"/>
  <c r="M28" i="9" s="1"/>
  <c r="K29" i="9"/>
  <c r="M29" i="9" s="1"/>
  <c r="K30" i="9"/>
  <c r="M30" i="9" s="1"/>
  <c r="K31" i="9"/>
  <c r="M31" i="9" s="1"/>
  <c r="K32" i="9"/>
  <c r="M32" i="9" s="1"/>
  <c r="K33" i="9"/>
  <c r="M33" i="9" s="1"/>
  <c r="K34" i="9"/>
  <c r="M34" i="9" s="1"/>
  <c r="J24" i="9"/>
  <c r="L24" i="9" s="1"/>
  <c r="J25" i="9"/>
  <c r="L25" i="9" s="1"/>
  <c r="J26" i="9"/>
  <c r="L26" i="9" s="1"/>
  <c r="J27" i="9"/>
  <c r="L27" i="9" s="1"/>
  <c r="J28" i="9"/>
  <c r="L28" i="9" s="1"/>
  <c r="J29" i="9"/>
  <c r="L29" i="9" s="1"/>
  <c r="J30" i="9"/>
  <c r="L30" i="9" s="1"/>
  <c r="J31" i="9"/>
  <c r="L31" i="9" s="1"/>
  <c r="J32" i="9"/>
  <c r="L32" i="9" s="1"/>
  <c r="J33" i="9"/>
  <c r="L33" i="9" s="1"/>
  <c r="J34" i="9"/>
  <c r="L34" i="9" s="1"/>
  <c r="H34" i="9"/>
  <c r="L72" i="2"/>
  <c r="L71" i="2"/>
  <c r="L65" i="2"/>
  <c r="L64" i="2"/>
  <c r="L63" i="2"/>
  <c r="L51" i="2"/>
  <c r="L50" i="2"/>
  <c r="L48" i="2"/>
  <c r="L47" i="2"/>
  <c r="L45" i="2"/>
  <c r="L44" i="2"/>
  <c r="L42" i="2"/>
  <c r="L41" i="2"/>
  <c r="L40" i="2"/>
  <c r="L38" i="2"/>
  <c r="L37" i="2"/>
  <c r="L36" i="2"/>
  <c r="L35" i="2"/>
  <c r="L34" i="2"/>
  <c r="L33" i="2"/>
  <c r="L32" i="2"/>
  <c r="L77" i="2"/>
  <c r="L30" i="2"/>
  <c r="L31" i="2"/>
  <c r="L29" i="2"/>
  <c r="C14" i="3"/>
  <c r="C13" i="3"/>
  <c r="C12" i="3"/>
  <c r="C11" i="3"/>
  <c r="C10" i="3"/>
  <c r="L26" i="2"/>
  <c r="L25" i="2"/>
  <c r="K59" i="16"/>
  <c r="K58" i="16"/>
  <c r="K55" i="16"/>
  <c r="K54" i="16"/>
  <c r="E53" i="16"/>
  <c r="E52" i="16"/>
  <c r="K51" i="16"/>
  <c r="E51" i="16"/>
  <c r="K50" i="16"/>
  <c r="E50" i="16"/>
  <c r="K49" i="16"/>
  <c r="E49" i="16"/>
  <c r="E48" i="16"/>
  <c r="E47" i="16"/>
  <c r="K46" i="16"/>
  <c r="E46" i="16"/>
  <c r="K45" i="16"/>
  <c r="E45" i="16"/>
  <c r="K44" i="16"/>
  <c r="E44" i="16"/>
  <c r="K43" i="16"/>
  <c r="E43" i="16"/>
  <c r="K42" i="16"/>
  <c r="E42" i="16"/>
  <c r="K41" i="16"/>
  <c r="E41" i="16"/>
  <c r="E54" i="16" s="1"/>
  <c r="E40" i="16"/>
  <c r="K38" i="16"/>
  <c r="K37" i="16"/>
  <c r="E37" i="16"/>
  <c r="K36" i="16"/>
  <c r="E36" i="16"/>
  <c r="K35" i="16"/>
  <c r="E35" i="16"/>
  <c r="K34" i="16"/>
  <c r="E34" i="16"/>
  <c r="E33" i="16"/>
  <c r="E32" i="16"/>
  <c r="K31" i="16"/>
  <c r="E31" i="16"/>
  <c r="K30" i="16"/>
  <c r="E30" i="16"/>
  <c r="K29" i="16"/>
  <c r="E29" i="16"/>
  <c r="E38" i="16" s="1"/>
  <c r="E55" i="16" s="1"/>
  <c r="E58" i="16" s="1"/>
  <c r="K28" i="16"/>
  <c r="E28" i="16"/>
  <c r="K27" i="16"/>
  <c r="E27" i="16"/>
  <c r="E26" i="16"/>
  <c r="E25" i="16"/>
  <c r="J22" i="16"/>
  <c r="J21" i="16"/>
  <c r="E20" i="16"/>
  <c r="E19" i="16"/>
  <c r="E18" i="16"/>
  <c r="K17" i="16"/>
  <c r="E17" i="16"/>
  <c r="E16" i="16"/>
  <c r="E15" i="16"/>
  <c r="C14" i="16"/>
  <c r="E14" i="16" s="1"/>
  <c r="C13" i="16"/>
  <c r="E13" i="16" s="1"/>
  <c r="E12" i="16"/>
  <c r="C12" i="16"/>
  <c r="C11" i="16"/>
  <c r="E11" i="16" s="1"/>
  <c r="C10" i="16"/>
  <c r="E10" i="16" s="1"/>
  <c r="K59" i="15"/>
  <c r="K58" i="15"/>
  <c r="K55" i="15"/>
  <c r="K54" i="15"/>
  <c r="E54" i="15"/>
  <c r="E53" i="15"/>
  <c r="E52" i="15"/>
  <c r="K51" i="15"/>
  <c r="E51" i="15"/>
  <c r="K50" i="15"/>
  <c r="E50" i="15"/>
  <c r="K49" i="15"/>
  <c r="E49" i="15"/>
  <c r="E48" i="15"/>
  <c r="E47" i="15"/>
  <c r="K46" i="15"/>
  <c r="E46" i="15"/>
  <c r="K45" i="15"/>
  <c r="E45" i="15"/>
  <c r="K44" i="15"/>
  <c r="E44" i="15"/>
  <c r="K43" i="15"/>
  <c r="E43" i="15"/>
  <c r="K42" i="15"/>
  <c r="E42" i="15"/>
  <c r="K41" i="15"/>
  <c r="E41" i="15"/>
  <c r="E40" i="15"/>
  <c r="K38" i="15"/>
  <c r="K37" i="15"/>
  <c r="E37" i="15"/>
  <c r="K36" i="15"/>
  <c r="E36" i="15"/>
  <c r="K35" i="15"/>
  <c r="E35" i="15"/>
  <c r="K34" i="15"/>
  <c r="E34" i="15"/>
  <c r="E33" i="15"/>
  <c r="E32" i="15"/>
  <c r="K31" i="15"/>
  <c r="E31" i="15"/>
  <c r="K30" i="15"/>
  <c r="E30" i="15"/>
  <c r="K29" i="15"/>
  <c r="E29" i="15"/>
  <c r="K28" i="15"/>
  <c r="E28" i="15"/>
  <c r="E38" i="15" s="1"/>
  <c r="E55" i="15" s="1"/>
  <c r="E58" i="15" s="1"/>
  <c r="K27" i="15"/>
  <c r="E27" i="15"/>
  <c r="E26" i="15"/>
  <c r="E25" i="15"/>
  <c r="J22" i="15"/>
  <c r="J21" i="15"/>
  <c r="E20" i="15"/>
  <c r="E19" i="15"/>
  <c r="E18" i="15"/>
  <c r="K17" i="15"/>
  <c r="E17" i="15"/>
  <c r="E16" i="15"/>
  <c r="E15" i="15"/>
  <c r="C14" i="15"/>
  <c r="E14" i="15" s="1"/>
  <c r="E13" i="15"/>
  <c r="C13" i="15"/>
  <c r="C12" i="15"/>
  <c r="E12" i="15" s="1"/>
  <c r="C11" i="15"/>
  <c r="E11" i="15" s="1"/>
  <c r="C10" i="15"/>
  <c r="E10" i="15" s="1"/>
  <c r="E21" i="15" s="1"/>
  <c r="C12" i="14"/>
  <c r="E12" i="14" s="1"/>
  <c r="C13" i="14"/>
  <c r="E13" i="14" s="1"/>
  <c r="C14" i="14"/>
  <c r="E14" i="14" s="1"/>
  <c r="C11" i="14"/>
  <c r="E11" i="14" s="1"/>
  <c r="C10" i="14"/>
  <c r="E10" i="14"/>
  <c r="K59" i="14"/>
  <c r="K58" i="14"/>
  <c r="K55" i="14"/>
  <c r="K54" i="14"/>
  <c r="E53" i="14"/>
  <c r="E52" i="14"/>
  <c r="K51" i="14"/>
  <c r="E51" i="14"/>
  <c r="K50" i="14"/>
  <c r="E50" i="14"/>
  <c r="K49" i="14"/>
  <c r="E49" i="14"/>
  <c r="E48" i="14"/>
  <c r="E47" i="14"/>
  <c r="K46" i="14"/>
  <c r="E46" i="14"/>
  <c r="K45" i="14"/>
  <c r="E45" i="14"/>
  <c r="K44" i="14"/>
  <c r="E44" i="14"/>
  <c r="K43" i="14"/>
  <c r="E43" i="14"/>
  <c r="K42" i="14"/>
  <c r="E42" i="14"/>
  <c r="K41" i="14"/>
  <c r="E41" i="14"/>
  <c r="E40" i="14"/>
  <c r="E54" i="14" s="1"/>
  <c r="K38" i="14"/>
  <c r="K37" i="14"/>
  <c r="E37" i="14"/>
  <c r="K36" i="14"/>
  <c r="E36" i="14"/>
  <c r="K35" i="14"/>
  <c r="E35" i="14"/>
  <c r="K34" i="14"/>
  <c r="E34" i="14"/>
  <c r="E33" i="14"/>
  <c r="E32" i="14"/>
  <c r="K31" i="14"/>
  <c r="E31" i="14"/>
  <c r="K30" i="14"/>
  <c r="E30" i="14"/>
  <c r="K29" i="14"/>
  <c r="E29" i="14"/>
  <c r="K28" i="14"/>
  <c r="E28" i="14"/>
  <c r="K27" i="14"/>
  <c r="E27" i="14"/>
  <c r="E26" i="14"/>
  <c r="E25" i="14"/>
  <c r="J22" i="14"/>
  <c r="J21" i="14"/>
  <c r="E20" i="14"/>
  <c r="E19" i="14"/>
  <c r="E18" i="14"/>
  <c r="K17" i="14"/>
  <c r="E17" i="14"/>
  <c r="E16" i="14"/>
  <c r="E15" i="14"/>
  <c r="L24" i="2"/>
  <c r="L22" i="2"/>
  <c r="L21" i="2"/>
  <c r="L19" i="2"/>
  <c r="L18" i="2"/>
  <c r="L16" i="2"/>
  <c r="K13" i="2"/>
  <c r="L13" i="2" s="1"/>
  <c r="L14" i="2"/>
  <c r="L12" i="2"/>
  <c r="L11" i="2"/>
  <c r="L10" i="2"/>
  <c r="L7" i="2"/>
  <c r="K4" i="2"/>
  <c r="L4" i="2" s="1"/>
  <c r="K3" i="2"/>
  <c r="L3" i="2" s="1"/>
  <c r="L8" i="2"/>
  <c r="L6" i="2"/>
  <c r="AF5" i="13"/>
  <c r="AF4" i="13"/>
  <c r="AF6" i="13" s="1"/>
  <c r="W9" i="13"/>
  <c r="X9" i="13" s="1"/>
  <c r="Z9" i="13" s="1"/>
  <c r="AB9" i="13" s="1"/>
  <c r="V9" i="13"/>
  <c r="T9" i="13"/>
  <c r="W8" i="13"/>
  <c r="V8" i="13"/>
  <c r="W7" i="13"/>
  <c r="V7" i="13"/>
  <c r="X7" i="13" s="1"/>
  <c r="Z7" i="13" s="1"/>
  <c r="AB7" i="13" s="1"/>
  <c r="W6" i="13"/>
  <c r="V6" i="13"/>
  <c r="W5" i="13"/>
  <c r="V5" i="13"/>
  <c r="W4" i="13"/>
  <c r="V4" i="13"/>
  <c r="X4" i="13" s="1"/>
  <c r="Z4" i="13" s="1"/>
  <c r="AB4" i="13" s="1"/>
  <c r="L2" i="2"/>
  <c r="Q32" i="9" l="1"/>
  <c r="L56" i="2"/>
  <c r="L55" i="2"/>
  <c r="E21" i="16"/>
  <c r="E57" i="16" s="1"/>
  <c r="E59" i="16" s="1"/>
  <c r="E57" i="15"/>
  <c r="E59" i="15"/>
  <c r="E38" i="14"/>
  <c r="E21" i="14"/>
  <c r="E57" i="14" s="1"/>
  <c r="X8" i="13"/>
  <c r="Z8" i="13" s="1"/>
  <c r="AB8" i="13" s="1"/>
  <c r="X6" i="13"/>
  <c r="Z6" i="13" s="1"/>
  <c r="AB6" i="13" s="1"/>
  <c r="X5" i="13"/>
  <c r="Z5" i="13" s="1"/>
  <c r="AB5" i="13" s="1"/>
  <c r="E55" i="14" l="1"/>
  <c r="E58" i="14" s="1"/>
  <c r="E59" i="14" s="1"/>
  <c r="C14" i="12" l="1"/>
  <c r="C27" i="12"/>
  <c r="C28" i="12"/>
  <c r="C10" i="12"/>
  <c r="E10" i="12" s="1"/>
  <c r="C13" i="12"/>
  <c r="E13" i="12"/>
  <c r="E14" i="12"/>
  <c r="E27" i="12"/>
  <c r="C12" i="12"/>
  <c r="C11" i="12"/>
  <c r="E45" i="12"/>
  <c r="E44" i="12"/>
  <c r="E43" i="12"/>
  <c r="E42" i="12"/>
  <c r="E12" i="12"/>
  <c r="K59" i="12"/>
  <c r="K58" i="12"/>
  <c r="K55" i="12"/>
  <c r="K54" i="12"/>
  <c r="E53" i="12"/>
  <c r="E52" i="12"/>
  <c r="K51" i="12"/>
  <c r="E51" i="12"/>
  <c r="K50" i="12"/>
  <c r="E50" i="12"/>
  <c r="K49" i="12"/>
  <c r="E49" i="12"/>
  <c r="E48" i="12"/>
  <c r="E47" i="12"/>
  <c r="K46" i="12"/>
  <c r="E46" i="12"/>
  <c r="K45" i="12"/>
  <c r="K44" i="12"/>
  <c r="K43" i="12"/>
  <c r="K42" i="12"/>
  <c r="K41" i="12"/>
  <c r="E41" i="12"/>
  <c r="E40" i="12"/>
  <c r="K38" i="12"/>
  <c r="K37" i="12"/>
  <c r="E37" i="12"/>
  <c r="K36" i="12"/>
  <c r="E36" i="12"/>
  <c r="K35" i="12"/>
  <c r="E35" i="12"/>
  <c r="K34" i="12"/>
  <c r="E34" i="12"/>
  <c r="E33" i="12"/>
  <c r="E32" i="12"/>
  <c r="K31" i="12"/>
  <c r="E31" i="12"/>
  <c r="K30" i="12"/>
  <c r="E30" i="12"/>
  <c r="K29" i="12"/>
  <c r="E29" i="12"/>
  <c r="K28" i="12"/>
  <c r="E28" i="12"/>
  <c r="K27" i="12"/>
  <c r="E26" i="12"/>
  <c r="E25" i="12"/>
  <c r="J22" i="12"/>
  <c r="J21" i="12"/>
  <c r="E20" i="12"/>
  <c r="E19" i="12"/>
  <c r="E18" i="12"/>
  <c r="K17" i="12"/>
  <c r="E17" i="12"/>
  <c r="E16" i="12"/>
  <c r="E15" i="12"/>
  <c r="E11" i="12"/>
  <c r="C13" i="6"/>
  <c r="C12" i="6"/>
  <c r="K59" i="11"/>
  <c r="K58" i="11"/>
  <c r="K55" i="11"/>
  <c r="K54" i="11"/>
  <c r="E53" i="11"/>
  <c r="E52" i="11"/>
  <c r="K51" i="11"/>
  <c r="E51" i="11"/>
  <c r="K50" i="11"/>
  <c r="E50" i="11"/>
  <c r="K49" i="11"/>
  <c r="E49" i="11"/>
  <c r="E48" i="11"/>
  <c r="E47" i="11"/>
  <c r="K46" i="11"/>
  <c r="E46" i="11"/>
  <c r="K45" i="11"/>
  <c r="E45" i="11"/>
  <c r="K44" i="11"/>
  <c r="E44" i="11"/>
  <c r="K43" i="11"/>
  <c r="E43" i="11"/>
  <c r="K42" i="11"/>
  <c r="E42" i="11"/>
  <c r="E54" i="11" s="1"/>
  <c r="K41" i="11"/>
  <c r="E41" i="11"/>
  <c r="E40" i="11"/>
  <c r="K38" i="11"/>
  <c r="K37" i="11"/>
  <c r="E37" i="11"/>
  <c r="K36" i="11"/>
  <c r="E36" i="11"/>
  <c r="K35" i="11"/>
  <c r="E35" i="11"/>
  <c r="K34" i="11"/>
  <c r="E34" i="11"/>
  <c r="E33" i="11"/>
  <c r="E32" i="11"/>
  <c r="K31" i="11"/>
  <c r="E31" i="11"/>
  <c r="K30" i="11"/>
  <c r="E30" i="11"/>
  <c r="K29" i="11"/>
  <c r="E29" i="11"/>
  <c r="K28" i="11"/>
  <c r="E28" i="11"/>
  <c r="K27" i="11"/>
  <c r="E27" i="11"/>
  <c r="E38" i="11" s="1"/>
  <c r="E26" i="11"/>
  <c r="E25" i="11"/>
  <c r="J22" i="11"/>
  <c r="J21" i="11"/>
  <c r="E20" i="11"/>
  <c r="E19" i="11"/>
  <c r="E18" i="11"/>
  <c r="K17" i="11"/>
  <c r="E17" i="11"/>
  <c r="E16" i="11"/>
  <c r="E15" i="11"/>
  <c r="E14" i="11"/>
  <c r="C14" i="11"/>
  <c r="C13" i="11"/>
  <c r="E13" i="11" s="1"/>
  <c r="E12" i="11"/>
  <c r="C12" i="11"/>
  <c r="C11" i="11"/>
  <c r="E11" i="11" s="1"/>
  <c r="C10" i="11"/>
  <c r="E10" i="11" s="1"/>
  <c r="C13" i="5"/>
  <c r="C12" i="5"/>
  <c r="C11" i="5"/>
  <c r="C14" i="6"/>
  <c r="C11" i="6"/>
  <c r="C10" i="6"/>
  <c r="F34" i="9"/>
  <c r="H33" i="9"/>
  <c r="F33" i="9"/>
  <c r="H32" i="9"/>
  <c r="F32" i="9"/>
  <c r="H31" i="9"/>
  <c r="F31" i="9"/>
  <c r="H30" i="9"/>
  <c r="F30" i="9"/>
  <c r="H29" i="9"/>
  <c r="F29" i="9"/>
  <c r="H28" i="9"/>
  <c r="F28" i="9"/>
  <c r="H27" i="9"/>
  <c r="F27" i="9"/>
  <c r="H26" i="9"/>
  <c r="F26" i="9"/>
  <c r="H25" i="9"/>
  <c r="F25" i="9"/>
  <c r="H24" i="9"/>
  <c r="F24" i="9"/>
  <c r="E55" i="11" l="1"/>
  <c r="E58" i="11" s="1"/>
  <c r="E21" i="11"/>
  <c r="E57" i="11" s="1"/>
  <c r="Q33" i="9"/>
  <c r="Q34" i="9" s="1"/>
  <c r="E21" i="12"/>
  <c r="E57" i="12" s="1"/>
  <c r="E54" i="12"/>
  <c r="E38" i="12"/>
  <c r="E59" i="11" l="1"/>
  <c r="E55" i="12"/>
  <c r="E58" i="12" s="1"/>
  <c r="E59" i="12" s="1"/>
  <c r="Q36" i="9"/>
  <c r="Q38" i="9" l="1"/>
  <c r="C14" i="7"/>
  <c r="C13" i="7"/>
  <c r="C11" i="7"/>
  <c r="E11" i="7" s="1"/>
  <c r="C12" i="7"/>
  <c r="C10" i="7"/>
  <c r="E10" i="7" s="1"/>
  <c r="C12" i="4"/>
  <c r="K59" i="7"/>
  <c r="K58" i="7"/>
  <c r="K55" i="7"/>
  <c r="K54" i="7"/>
  <c r="E53" i="7"/>
  <c r="E52" i="7"/>
  <c r="K51" i="7"/>
  <c r="E51" i="7"/>
  <c r="K50" i="7"/>
  <c r="E50" i="7"/>
  <c r="K49" i="7"/>
  <c r="E49" i="7"/>
  <c r="E48" i="7"/>
  <c r="E47" i="7"/>
  <c r="K46" i="7"/>
  <c r="E46" i="7"/>
  <c r="K45" i="7"/>
  <c r="E45" i="7"/>
  <c r="K44" i="7"/>
  <c r="E44" i="7"/>
  <c r="K43" i="7"/>
  <c r="E43" i="7"/>
  <c r="K42" i="7"/>
  <c r="E42" i="7"/>
  <c r="K41" i="7"/>
  <c r="E41" i="7"/>
  <c r="E40" i="7"/>
  <c r="K38" i="7"/>
  <c r="K37" i="7"/>
  <c r="E37" i="7"/>
  <c r="K36" i="7"/>
  <c r="E36" i="7"/>
  <c r="K35" i="7"/>
  <c r="E35" i="7"/>
  <c r="K34" i="7"/>
  <c r="E34" i="7"/>
  <c r="E33" i="7"/>
  <c r="E32" i="7"/>
  <c r="K31" i="7"/>
  <c r="E31" i="7"/>
  <c r="K30" i="7"/>
  <c r="E30" i="7"/>
  <c r="K29" i="7"/>
  <c r="E29" i="7"/>
  <c r="K28" i="7"/>
  <c r="E28" i="7"/>
  <c r="K27" i="7"/>
  <c r="E27" i="7"/>
  <c r="E26" i="7"/>
  <c r="E25" i="7"/>
  <c r="J22" i="7"/>
  <c r="J21" i="7"/>
  <c r="E20" i="7"/>
  <c r="E19" i="7"/>
  <c r="E18" i="7"/>
  <c r="K17" i="7"/>
  <c r="E17" i="7"/>
  <c r="E16" i="7"/>
  <c r="E15" i="7"/>
  <c r="E14" i="7"/>
  <c r="E13" i="7"/>
  <c r="E12" i="7"/>
  <c r="K59" i="6"/>
  <c r="K58" i="6"/>
  <c r="K55" i="6"/>
  <c r="K54" i="6"/>
  <c r="E53" i="6"/>
  <c r="E52" i="6"/>
  <c r="K51" i="6"/>
  <c r="E51" i="6"/>
  <c r="K50" i="6"/>
  <c r="E50" i="6"/>
  <c r="K49" i="6"/>
  <c r="E49" i="6"/>
  <c r="E48" i="6"/>
  <c r="E47" i="6"/>
  <c r="K46" i="6"/>
  <c r="E46" i="6"/>
  <c r="K45" i="6"/>
  <c r="E45" i="6"/>
  <c r="K44" i="6"/>
  <c r="E44" i="6"/>
  <c r="K43" i="6"/>
  <c r="E43" i="6"/>
  <c r="K42" i="6"/>
  <c r="E42" i="6"/>
  <c r="K41" i="6"/>
  <c r="E41" i="6"/>
  <c r="E40" i="6"/>
  <c r="E54" i="6" s="1"/>
  <c r="K38" i="6"/>
  <c r="K37" i="6"/>
  <c r="E37" i="6"/>
  <c r="K36" i="6"/>
  <c r="E36" i="6"/>
  <c r="K35" i="6"/>
  <c r="E35" i="6"/>
  <c r="K34" i="6"/>
  <c r="E34" i="6"/>
  <c r="E33" i="6"/>
  <c r="E32" i="6"/>
  <c r="K31" i="6"/>
  <c r="E31" i="6"/>
  <c r="K30" i="6"/>
  <c r="E30" i="6"/>
  <c r="K29" i="6"/>
  <c r="E29" i="6"/>
  <c r="K28" i="6"/>
  <c r="E28" i="6"/>
  <c r="K27" i="6"/>
  <c r="E27" i="6"/>
  <c r="E26" i="6"/>
  <c r="E25" i="6"/>
  <c r="J22" i="6"/>
  <c r="J21" i="6"/>
  <c r="E20" i="6"/>
  <c r="E19" i="6"/>
  <c r="E18" i="6"/>
  <c r="K17" i="6"/>
  <c r="E17" i="6"/>
  <c r="E16" i="6"/>
  <c r="E15" i="6"/>
  <c r="E14" i="6"/>
  <c r="E13" i="6"/>
  <c r="E12" i="6"/>
  <c r="E11" i="6"/>
  <c r="E10" i="6"/>
  <c r="C14" i="5"/>
  <c r="E14" i="5" s="1"/>
  <c r="E11" i="5"/>
  <c r="C10" i="5"/>
  <c r="E12" i="5"/>
  <c r="K59" i="5"/>
  <c r="K58" i="5"/>
  <c r="K55" i="5"/>
  <c r="K54" i="5"/>
  <c r="E53" i="5"/>
  <c r="E52" i="5"/>
  <c r="K51" i="5"/>
  <c r="E51" i="5"/>
  <c r="K50" i="5"/>
  <c r="E50" i="5"/>
  <c r="K49" i="5"/>
  <c r="E49" i="5"/>
  <c r="E48" i="5"/>
  <c r="E54" i="5" s="1"/>
  <c r="E47" i="5"/>
  <c r="K46" i="5"/>
  <c r="E46" i="5"/>
  <c r="K45" i="5"/>
  <c r="E45" i="5"/>
  <c r="K44" i="5"/>
  <c r="E44" i="5"/>
  <c r="K43" i="5"/>
  <c r="E43" i="5"/>
  <c r="K42" i="5"/>
  <c r="E42" i="5"/>
  <c r="K41" i="5"/>
  <c r="E41" i="5"/>
  <c r="E40" i="5"/>
  <c r="K38" i="5"/>
  <c r="K37" i="5"/>
  <c r="E37" i="5"/>
  <c r="K36" i="5"/>
  <c r="E36" i="5"/>
  <c r="K35" i="5"/>
  <c r="E35" i="5"/>
  <c r="K34" i="5"/>
  <c r="E34" i="5"/>
  <c r="E33" i="5"/>
  <c r="E32" i="5"/>
  <c r="K31" i="5"/>
  <c r="E31" i="5"/>
  <c r="K30" i="5"/>
  <c r="E30" i="5"/>
  <c r="K29" i="5"/>
  <c r="E29" i="5"/>
  <c r="K28" i="5"/>
  <c r="E28" i="5"/>
  <c r="E38" i="5" s="1"/>
  <c r="K27" i="5"/>
  <c r="E27" i="5"/>
  <c r="E26" i="5"/>
  <c r="E25" i="5"/>
  <c r="J22" i="5"/>
  <c r="J21" i="5"/>
  <c r="E20" i="5"/>
  <c r="E19" i="5"/>
  <c r="E18" i="5"/>
  <c r="K17" i="5"/>
  <c r="E17" i="5"/>
  <c r="E16" i="5"/>
  <c r="E15" i="5"/>
  <c r="E13" i="5"/>
  <c r="E10" i="5"/>
  <c r="C11" i="4"/>
  <c r="C10" i="4"/>
  <c r="E55" i="5" l="1"/>
  <c r="E58" i="5" s="1"/>
  <c r="E38" i="6"/>
  <c r="E55" i="6" s="1"/>
  <c r="E58" i="6" s="1"/>
  <c r="E38" i="7"/>
  <c r="E54" i="7"/>
  <c r="E21" i="7"/>
  <c r="E57" i="7" s="1"/>
  <c r="E55" i="7"/>
  <c r="E58" i="7" s="1"/>
  <c r="E21" i="6"/>
  <c r="E57" i="6" s="1"/>
  <c r="E59" i="6" s="1"/>
  <c r="E21" i="5"/>
  <c r="E57" i="5" s="1"/>
  <c r="E59" i="5" s="1"/>
  <c r="E59" i="7" l="1"/>
  <c r="C14" i="4"/>
  <c r="C13" i="4"/>
  <c r="E13" i="4" s="1"/>
  <c r="K59" i="4"/>
  <c r="K58" i="4"/>
  <c r="K55" i="4"/>
  <c r="K54" i="4"/>
  <c r="E53" i="4"/>
  <c r="E52" i="4"/>
  <c r="K51" i="4"/>
  <c r="E51" i="4"/>
  <c r="K50" i="4"/>
  <c r="E50" i="4"/>
  <c r="K49" i="4"/>
  <c r="E49" i="4"/>
  <c r="E48" i="4"/>
  <c r="E47" i="4"/>
  <c r="K46" i="4"/>
  <c r="E46" i="4"/>
  <c r="K45" i="4"/>
  <c r="E45" i="4"/>
  <c r="K44" i="4"/>
  <c r="E44" i="4"/>
  <c r="K43" i="4"/>
  <c r="E43" i="4"/>
  <c r="K42" i="4"/>
  <c r="E42" i="4"/>
  <c r="E54" i="4" s="1"/>
  <c r="K41" i="4"/>
  <c r="E41" i="4"/>
  <c r="E40" i="4"/>
  <c r="K38" i="4"/>
  <c r="K37" i="4"/>
  <c r="E37" i="4"/>
  <c r="K36" i="4"/>
  <c r="E36" i="4"/>
  <c r="K35" i="4"/>
  <c r="E35" i="4"/>
  <c r="K34" i="4"/>
  <c r="E34" i="4"/>
  <c r="E33" i="4"/>
  <c r="E32" i="4"/>
  <c r="K31" i="4"/>
  <c r="E31" i="4"/>
  <c r="K30" i="4"/>
  <c r="E30" i="4"/>
  <c r="K29" i="4"/>
  <c r="E29" i="4"/>
  <c r="K28" i="4"/>
  <c r="E28" i="4"/>
  <c r="E38" i="4" s="1"/>
  <c r="K27" i="4"/>
  <c r="E27" i="4"/>
  <c r="E26" i="4"/>
  <c r="E25" i="4"/>
  <c r="J22" i="4"/>
  <c r="J21" i="4"/>
  <c r="E20" i="4"/>
  <c r="E19" i="4"/>
  <c r="E18" i="4"/>
  <c r="K17" i="4"/>
  <c r="E17" i="4"/>
  <c r="E16" i="4"/>
  <c r="E15" i="4"/>
  <c r="E14" i="4"/>
  <c r="E12" i="4"/>
  <c r="E11" i="4"/>
  <c r="E10" i="4"/>
  <c r="E21" i="4" l="1"/>
  <c r="E57" i="4" s="1"/>
  <c r="E55" i="4"/>
  <c r="E58" i="4" s="1"/>
  <c r="E59" i="4" l="1"/>
  <c r="K59" i="3" l="1"/>
  <c r="K58" i="3"/>
  <c r="K55" i="3"/>
  <c r="K54" i="3"/>
  <c r="E53" i="3"/>
  <c r="E52" i="3"/>
  <c r="K51" i="3"/>
  <c r="E51" i="3"/>
  <c r="K50" i="3"/>
  <c r="E50" i="3"/>
  <c r="K49" i="3"/>
  <c r="E49" i="3"/>
  <c r="E48" i="3"/>
  <c r="E47" i="3"/>
  <c r="K46" i="3"/>
  <c r="E46" i="3"/>
  <c r="K45" i="3"/>
  <c r="E45" i="3"/>
  <c r="K44" i="3"/>
  <c r="E44" i="3"/>
  <c r="K43" i="3"/>
  <c r="E43" i="3"/>
  <c r="K42" i="3"/>
  <c r="E42" i="3"/>
  <c r="K41" i="3"/>
  <c r="E41" i="3"/>
  <c r="E40" i="3"/>
  <c r="K38" i="3"/>
  <c r="K37" i="3"/>
  <c r="E37" i="3"/>
  <c r="K36" i="3"/>
  <c r="E36" i="3"/>
  <c r="K35" i="3"/>
  <c r="E35" i="3"/>
  <c r="K34" i="3"/>
  <c r="E34" i="3"/>
  <c r="E33" i="3"/>
  <c r="E32" i="3"/>
  <c r="K31" i="3"/>
  <c r="E31" i="3"/>
  <c r="K30" i="3"/>
  <c r="E30" i="3"/>
  <c r="K29" i="3"/>
  <c r="E29" i="3"/>
  <c r="K28" i="3"/>
  <c r="E28" i="3"/>
  <c r="K27" i="3"/>
  <c r="E27" i="3"/>
  <c r="E26" i="3"/>
  <c r="E25" i="3"/>
  <c r="J22" i="3"/>
  <c r="J21" i="3"/>
  <c r="E20" i="3"/>
  <c r="E19" i="3"/>
  <c r="E18" i="3"/>
  <c r="K17" i="3"/>
  <c r="E17" i="3"/>
  <c r="E16" i="3"/>
  <c r="E15" i="3"/>
  <c r="E14" i="3"/>
  <c r="E13" i="3"/>
  <c r="E12" i="3"/>
  <c r="E11" i="3"/>
  <c r="E10" i="3"/>
  <c r="E54" i="3" l="1"/>
  <c r="E38" i="3"/>
  <c r="E55" i="3" s="1"/>
  <c r="E58" i="3" s="1"/>
  <c r="E21" i="3"/>
  <c r="E57" i="3" s="1"/>
  <c r="E59" i="3" l="1"/>
</calcChain>
</file>

<file path=xl/sharedStrings.xml><?xml version="1.0" encoding="utf-8"?>
<sst xmlns="http://schemas.openxmlformats.org/spreadsheetml/2006/main" count="6722" uniqueCount="959">
  <si>
    <t>EIXO 1: CONSERVAÇÃO AMBIENTAL</t>
  </si>
  <si>
    <t>EIXO 2: PRODUÇÃO SUSTENTÁVEL</t>
  </si>
  <si>
    <t>1.1</t>
  </si>
  <si>
    <t>1.2</t>
  </si>
  <si>
    <t>2.1</t>
  </si>
  <si>
    <t>2.2</t>
  </si>
  <si>
    <t>2.3</t>
  </si>
  <si>
    <t>3.1</t>
  </si>
  <si>
    <t>3.2</t>
  </si>
  <si>
    <t>3.3</t>
  </si>
  <si>
    <t>3.4</t>
  </si>
  <si>
    <t>4.1</t>
  </si>
  <si>
    <t>4.2</t>
  </si>
  <si>
    <t>4.3</t>
  </si>
  <si>
    <t>Segurança de barragens</t>
  </si>
  <si>
    <t>Programa</t>
  </si>
  <si>
    <t>Ação</t>
  </si>
  <si>
    <t>1.1.1</t>
  </si>
  <si>
    <t>1.1.2</t>
  </si>
  <si>
    <t>1.2.1</t>
  </si>
  <si>
    <t>1.2.2</t>
  </si>
  <si>
    <t>2.1.1</t>
  </si>
  <si>
    <t>2.1.2</t>
  </si>
  <si>
    <t>2.1.3</t>
  </si>
  <si>
    <t>2.2.1</t>
  </si>
  <si>
    <t>2.2.2</t>
  </si>
  <si>
    <t>2.3.1</t>
  </si>
  <si>
    <t>2.3.2</t>
  </si>
  <si>
    <t>3.1.1</t>
  </si>
  <si>
    <t>3.1.2</t>
  </si>
  <si>
    <t>3.1.3</t>
  </si>
  <si>
    <t>EIXO 3: GARANTIA DE ACESSO A ÁGUA EM QUANTIDADE E QUALIDADE</t>
  </si>
  <si>
    <t>3.2.1</t>
  </si>
  <si>
    <t>3.2.2</t>
  </si>
  <si>
    <t>Proteção e conservação das áreas de drenagem dos mananciais de abastecimento</t>
  </si>
  <si>
    <t>3.1.4</t>
  </si>
  <si>
    <t>3.3.1</t>
  </si>
  <si>
    <t>3.3.2</t>
  </si>
  <si>
    <t>3.4.1</t>
  </si>
  <si>
    <t>3.4.2</t>
  </si>
  <si>
    <t>4.1.1</t>
  </si>
  <si>
    <t>4.1.2</t>
  </si>
  <si>
    <t>4.1.3</t>
  </si>
  <si>
    <t>4.1.4</t>
  </si>
  <si>
    <t>4.1.5</t>
  </si>
  <si>
    <t>4.2.1</t>
  </si>
  <si>
    <t>4.2.2</t>
  </si>
  <si>
    <t>4.2.3</t>
  </si>
  <si>
    <t>Regularização das barragens de rejeito</t>
  </si>
  <si>
    <t>4.3.1</t>
  </si>
  <si>
    <t>4.3.2</t>
  </si>
  <si>
    <t>4.3.3</t>
  </si>
  <si>
    <t>IEF</t>
  </si>
  <si>
    <t>IGAM</t>
  </si>
  <si>
    <t>FEAM</t>
  </si>
  <si>
    <t>SEMAD</t>
  </si>
  <si>
    <t>Fomento a projetos e obras de ampliação da coleta e tratamento de esgotos</t>
  </si>
  <si>
    <t>Elaboração de estudo de viabilidade econômico-financeira e de impacto ambiental da desinfecção de efluentes das ETEs</t>
  </si>
  <si>
    <t>Prefeituras Municipais</t>
  </si>
  <si>
    <t>Sustentabilidade do uso da água na produção</t>
  </si>
  <si>
    <t>Eixo</t>
  </si>
  <si>
    <t>Controle das inspeções periódicas e revisões do nível de segurança das barragens</t>
  </si>
  <si>
    <t>Recomposição florestal de áreas chave para produção hídrica</t>
  </si>
  <si>
    <t>Desenvolvimento de sistema de gerenciamento de informações relativas aos planos de segurança das barragens</t>
  </si>
  <si>
    <t>SEINFRA</t>
  </si>
  <si>
    <t>Articulação de interesses para recuperação e preservação de áreas chave para produção hídrica</t>
  </si>
  <si>
    <t>Ampliação das reservas hídricas e da infraestrutura de abasetecimento de água</t>
  </si>
  <si>
    <t>Elaboração de estudo de alternativas para a ampliação e diversificação das reservas hídricas</t>
  </si>
  <si>
    <t>Desenvolvimento de sistema de gestão de riscos de desabastecimento da RMBH</t>
  </si>
  <si>
    <t>Programa de Pagamento por Resultados (PporR) na redução e controle de perdas</t>
  </si>
  <si>
    <t>Manejo de resíduos sólidos</t>
  </si>
  <si>
    <t>Ampliação da infraestrutura de coleta e tratamento de esgoto</t>
  </si>
  <si>
    <t>Estudos/ projetos</t>
  </si>
  <si>
    <t>Gestão</t>
  </si>
  <si>
    <t>Obras</t>
  </si>
  <si>
    <t>Orçamento (R$)</t>
  </si>
  <si>
    <t>Tabela Portaria ANA Nº 363, de 02 de fevereiro de 2021</t>
  </si>
  <si>
    <t>Estimativa de Custos</t>
  </si>
  <si>
    <t>Função</t>
  </si>
  <si>
    <t>C/U (R$/h)</t>
  </si>
  <si>
    <t>ORÇAMENTO</t>
  </si>
  <si>
    <t>DURAÇÃO</t>
  </si>
  <si>
    <t>BASE (horas/mês):</t>
  </si>
  <si>
    <t>Coordenador de Projeto</t>
  </si>
  <si>
    <t>(em meses):</t>
  </si>
  <si>
    <t>Especialista Sênior - Nível Superior</t>
  </si>
  <si>
    <t>Elaborado em:</t>
  </si>
  <si>
    <t>Especialista Pleno - Nível Superior</t>
  </si>
  <si>
    <t>Parâmetro</t>
  </si>
  <si>
    <t>Valor</t>
  </si>
  <si>
    <t>1 Equipe técnica</t>
  </si>
  <si>
    <t>Quantidade (horas)</t>
  </si>
  <si>
    <t>Custo unitário (R$/h)</t>
  </si>
  <si>
    <t>Valor (R$)</t>
  </si>
  <si>
    <t>Profissional - Nível Superior Júnior</t>
  </si>
  <si>
    <t>Fator K</t>
  </si>
  <si>
    <t>Especificação</t>
  </si>
  <si>
    <t>Nível Técnico</t>
  </si>
  <si>
    <t>Auxiliar Administrativo</t>
  </si>
  <si>
    <t>Especialista Sênior - Nível Superior (1)</t>
  </si>
  <si>
    <t>Especialista Pleno - Nível Superior (1)</t>
  </si>
  <si>
    <t>Profissional - Nível Superior Júnior (1)</t>
  </si>
  <si>
    <t>3 Custos Indiretos - Fator K (1), (2) e (3)</t>
  </si>
  <si>
    <t>Alíquota</t>
  </si>
  <si>
    <t>Nível Técnico (1)</t>
  </si>
  <si>
    <t>3.1 Encargos Sociais (K1)</t>
  </si>
  <si>
    <t>3.2 Administração, risco, despesas financeiras (K2)</t>
  </si>
  <si>
    <t>3.3 Lucro (K3)</t>
  </si>
  <si>
    <t>Valor correto</t>
  </si>
  <si>
    <t>3.4 Despesas Fiscais e Legais (K4)(4)</t>
  </si>
  <si>
    <t>PIS:</t>
  </si>
  <si>
    <t>COFINS:</t>
  </si>
  <si>
    <t>ISS:</t>
  </si>
  <si>
    <t>Custo Direto Mão-de-Obra</t>
  </si>
  <si>
    <t>A=</t>
  </si>
  <si>
    <t>3.1 Fator Custos Indiretos de Mão de Obra</t>
  </si>
  <si>
    <t>E=</t>
  </si>
  <si>
    <t>2 Despesas Diversas</t>
  </si>
  <si>
    <t>3.2 Fator Custo Indiretos Despesas Diversas</t>
  </si>
  <si>
    <t>F=</t>
  </si>
  <si>
    <t>Quantidade</t>
  </si>
  <si>
    <t>Custo unitário (R$)</t>
  </si>
  <si>
    <t>2.1 Serviços de Campo</t>
  </si>
  <si>
    <t>DNIT - Instrução de Serviço DG nº 03, de 07 de março de 2012. Tabela de preços de consultoria, atualizada em 08/2020</t>
  </si>
  <si>
    <t>Aluguel veículo intermediário</t>
  </si>
  <si>
    <t>Referências para outros itens de despesa</t>
  </si>
  <si>
    <t>Hotel</t>
  </si>
  <si>
    <t>5 VEÍCULOS</t>
  </si>
  <si>
    <t>Alimentação diária</t>
  </si>
  <si>
    <t>Sedan- 71 A 115 CV</t>
  </si>
  <si>
    <t>mês</t>
  </si>
  <si>
    <t>DNIT</t>
  </si>
  <si>
    <t>Combustível (R$/litro)</t>
  </si>
  <si>
    <t>Caminhonete - 71A 115 CV</t>
  </si>
  <si>
    <t>Caminhonete - 140A  165 CV</t>
  </si>
  <si>
    <t>VAN - 120A 140 CV</t>
  </si>
  <si>
    <t>Caminhão para viga benkelman</t>
  </si>
  <si>
    <t>6 DESLOCAMENTO</t>
  </si>
  <si>
    <t>dia</t>
  </si>
  <si>
    <t>Cotação</t>
  </si>
  <si>
    <t>litro</t>
  </si>
  <si>
    <t>Passagens aéreas (ida e volta) - curta distância</t>
  </si>
  <si>
    <t>un.</t>
  </si>
  <si>
    <t>Passagens aéreas (ida e volta) - média distância</t>
  </si>
  <si>
    <t>Custo Total de Serviços de Campo</t>
  </si>
  <si>
    <t>B=</t>
  </si>
  <si>
    <t>Passagens aéreas (ida e volta) - longa distância</t>
  </si>
  <si>
    <t>2.2 Outras Despesas</t>
  </si>
  <si>
    <t>Aluguél de Escritório</t>
  </si>
  <si>
    <t>7 EQUIPAMENTOS</t>
  </si>
  <si>
    <t>Mobiliário Escritório</t>
  </si>
  <si>
    <t>Instrumental de topografia</t>
  </si>
  <si>
    <t>GPS</t>
  </si>
  <si>
    <t>Notebook</t>
  </si>
  <si>
    <t>Impressora Multifuncional</t>
  </si>
  <si>
    <t>Câmera Digital</t>
  </si>
  <si>
    <t xml:space="preserve">Projetor Multimidia </t>
  </si>
  <si>
    <t>8 IMÓVEIS</t>
  </si>
  <si>
    <t>Escritório</t>
  </si>
  <si>
    <t>Casa para Engenheiro</t>
  </si>
  <si>
    <t>Alojamento para pessoal</t>
  </si>
  <si>
    <t>9 MOBILIÁRIO</t>
  </si>
  <si>
    <t>Total de Outras Despesas</t>
  </si>
  <si>
    <t>C=</t>
  </si>
  <si>
    <t>De Escritório</t>
  </si>
  <si>
    <t>Total Despesas Diversas (B + C)</t>
  </si>
  <si>
    <t>D=</t>
  </si>
  <si>
    <t>De Alojamento P/ Pessoal</t>
  </si>
  <si>
    <t>3 Totais incluindo os Custos Indiretos</t>
  </si>
  <si>
    <t>Preço de venda de Mão-de-Obra (A x E)</t>
  </si>
  <si>
    <t>G=</t>
  </si>
  <si>
    <t>10 HOSPEDAGEM E ALIMENTAÇÃO</t>
  </si>
  <si>
    <t>Preço de venda das Despesas Diversas (D x F)</t>
  </si>
  <si>
    <t>H=</t>
  </si>
  <si>
    <t>Valor Total Estimado (G + H)</t>
  </si>
  <si>
    <t>1) Para efeitos de orçamento-base, foram utilizadas alíquotas estimativas para os impostos e encargos sociais. As empresas licitantes deverão adotar, em seus orçamentos, as alíquotas de PIS, COFINS e ISS efetivamente praticadas, de acordo com o seu regime de tributação. A comprovação do regime de tributação da empresa poderá ser exigida pela ANA a qualquer tempo e a seu critério. Os percentuais cotados para o PIS e para a COFINS, por empresas eventualmente tributadas pelo regime da incidência não-cumulativa, apresentados na licitação, terão as alíquotas admitidas pela média dos recolhimentos efetivos, observadas as alíquotas de lei, deduzidos os percentuais de aproveitamento de crédito dos últimos doze meses. De acordo com a recomendação do TCU, exarada por meio dos Acórdãos nº 950/2007 - Plenário e nº 1904/2007 - Plenário e Súmula TCU nº 254/2010, não poderão ser lançados previsões de custos relativos aos tributos IRPJ e CSLL na Planilha de Composição de Preços.</t>
  </si>
  <si>
    <t>Valor diárias servidores públicos federais, Decreto Nº 5.992, de 19 de dezembro de 2006, atualizado em 07/2022</t>
  </si>
  <si>
    <t>10 DIÁRIAS</t>
  </si>
  <si>
    <t>Classificação do Cargo</t>
  </si>
  <si>
    <t>CNE</t>
  </si>
  <si>
    <t>CCE</t>
  </si>
  <si>
    <t>DEMAIS</t>
  </si>
  <si>
    <t>Brasília/ Manaus/ Rio de Janeiro/ São Paulo</t>
  </si>
  <si>
    <t>Outras capitais de Estados</t>
  </si>
  <si>
    <t>Demais deslocamentos</t>
  </si>
  <si>
    <t>CNE: Cargos de Natureza Especial; CCE: Cargos Comissionados Executivos; DEMAIS: Demais cargos, empregos e funções</t>
  </si>
  <si>
    <t>(2) As empresas licitantes deverão adotar, em seus orçamentos, os encargos sociais efetivamente praticados. A memória de cálculo e a comprovação dos recolhimentos dos encargos sociais da empresa poderão ser exigidas pela ANA a qualquer tempo e a seu critério.</t>
  </si>
  <si>
    <t>(3) O valor total apresentado é uma estimativa obtida a partir dos valores unitários e coeficientes utilizados para o cômputo dos custos diretos e indiretos definidos no Anexo I desta Portaria, e da equipe técnica considerada necessária para a realização das atividades previstas no escopo do trabalho.</t>
  </si>
  <si>
    <t>(4) K4 = (I)/(1-I), onde I=PIS + COFINS + ISS</t>
  </si>
  <si>
    <t>(5) Fator K (Mão-de-Obra) = (1+K1+K2) x (1+K3) x (1+K4)</t>
  </si>
  <si>
    <t>(6) Fator K (Despesas Diversas) = (1+K3) x (1+K4)</t>
  </si>
  <si>
    <t>Objeto orçado: Estudo de alternativas para o incremento da disponibilidade hídrica e redução do risco de desabastecimento</t>
  </si>
  <si>
    <t>24 meses</t>
  </si>
  <si>
    <t>Especialista Sênior - Nível Superior (2)</t>
  </si>
  <si>
    <t>18 meses</t>
  </si>
  <si>
    <t>Objeto orçado: Desenvolvimento de Sistema de Gestão de Riscos da Infraestrutura Hídrica</t>
  </si>
  <si>
    <t>Objeto orçado: Estudo de viabilidade técnica, econômica, sanitária e ambiental da recarga artificial de aquíferos</t>
  </si>
  <si>
    <t>Especialista Pleno - Nível Superior (3)</t>
  </si>
  <si>
    <t>IBGE</t>
  </si>
  <si>
    <t>Município</t>
  </si>
  <si>
    <t>Região</t>
  </si>
  <si>
    <t>População urbana</t>
  </si>
  <si>
    <t>Coletado e tratado (%)</t>
  </si>
  <si>
    <t>Coletado e não tratado (%)</t>
  </si>
  <si>
    <t>Coletado</t>
  </si>
  <si>
    <t>Não coletado e não tratado (%)</t>
  </si>
  <si>
    <t>Fossa séptica (%)</t>
  </si>
  <si>
    <t>Implement. Coleta</t>
  </si>
  <si>
    <t>Implement. Trat</t>
  </si>
  <si>
    <t>Custo coleta</t>
  </si>
  <si>
    <t>Custo tratamento</t>
  </si>
  <si>
    <t>Prioridade</t>
  </si>
  <si>
    <t>RMBH</t>
  </si>
  <si>
    <t>Obra</t>
  </si>
  <si>
    <t>Fonte</t>
  </si>
  <si>
    <t>Valor atualizado</t>
  </si>
  <si>
    <t>Data atualização</t>
  </si>
  <si>
    <t>Belo Horizonte</t>
  </si>
  <si>
    <t>Prioritário</t>
  </si>
  <si>
    <t>Coleta e transporte</t>
  </si>
  <si>
    <t>Atlas Esgotos (2017)</t>
  </si>
  <si>
    <t>Colar</t>
  </si>
  <si>
    <t>Média UASB - convencional (60-75% remoção DBO)</t>
  </si>
  <si>
    <t>Von Sperling</t>
  </si>
  <si>
    <t>Betim</t>
  </si>
  <si>
    <t>Lodo ativado + filtração terciária (93-98% DBO, &lt;60% N e 50-60% P)</t>
  </si>
  <si>
    <t>Tanque séptico + filtro anaeróbio</t>
  </si>
  <si>
    <t>Caeté</t>
  </si>
  <si>
    <t>Coleta</t>
  </si>
  <si>
    <t>Tratamento</t>
  </si>
  <si>
    <t>Total obras</t>
  </si>
  <si>
    <t>Contagem</t>
  </si>
  <si>
    <t>Esmeraldas</t>
  </si>
  <si>
    <t>Ibirité</t>
  </si>
  <si>
    <t>Igarapé</t>
  </si>
  <si>
    <t>Itaguara</t>
  </si>
  <si>
    <t>Itatiaiuçu</t>
  </si>
  <si>
    <t>Itaúna</t>
  </si>
  <si>
    <t>Jequitibá</t>
  </si>
  <si>
    <t>Lagoa Santa</t>
  </si>
  <si>
    <t>Mateus Leme</t>
  </si>
  <si>
    <t>Moeda</t>
  </si>
  <si>
    <t>Nova Lima</t>
  </si>
  <si>
    <t>Ouro Preto</t>
  </si>
  <si>
    <t>Pará de Minas</t>
  </si>
  <si>
    <t>Pequi</t>
  </si>
  <si>
    <t>Piracema</t>
  </si>
  <si>
    <t>Ribeirão das Neves</t>
  </si>
  <si>
    <t>Rio Acima</t>
  </si>
  <si>
    <t>Sabará</t>
  </si>
  <si>
    <t>Santa Luzia</t>
  </si>
  <si>
    <t>São José da Lapa</t>
  </si>
  <si>
    <t>Sarzedo</t>
  </si>
  <si>
    <t>Sete Lagoas</t>
  </si>
  <si>
    <t>Objeto orçado: Elaboração de Estudo Viabilidade Econômico-Financeira e de Impacto Ambiental da Desinfecção de Efluentes das ETEs existentes</t>
  </si>
  <si>
    <t>Fomento a ampliação da coleta de resíduos sólidos e ações de limpeza urbana</t>
  </si>
  <si>
    <t>Agência RMBH</t>
  </si>
  <si>
    <t>Especialista Pleno - Nível Superior (2)</t>
  </si>
  <si>
    <t>Profissional - Nível Superior Júnior (2)</t>
  </si>
  <si>
    <t>Fomento ao encerramento e recuperação das áreas degradadas por lixões e aterros controlados</t>
  </si>
  <si>
    <t>EIXO 4: RESILIÊNCIA A EVENTOS EXTREMOS</t>
  </si>
  <si>
    <t>Implantação de projetos de recuperação e preservação de áreas chave para produção hídrica</t>
  </si>
  <si>
    <t>Gerenciamento e controle de atividades poluidoras</t>
  </si>
  <si>
    <t>Objeto orçado: Elaboração do Plano Diretor de Macrodrenagem do Alto Rio das Velhas</t>
  </si>
  <si>
    <t>15 meses</t>
  </si>
  <si>
    <t>Nível Técnico (2)</t>
  </si>
  <si>
    <t>Proteção e conservação de áreas de mananciais</t>
  </si>
  <si>
    <t>Elaboração e implementação dos Planos de Manejo das UCs localizadas em áreas de drenagem de mananciais de abastecimento</t>
  </si>
  <si>
    <t>Aumento da eficiência de uso da água na produção industrial</t>
  </si>
  <si>
    <t>Aumento da eficiência de uso da água na produção agrícola</t>
  </si>
  <si>
    <t>Aumento da eficiência de uso da água na mineração</t>
  </si>
  <si>
    <t>Implementação de um sistema de monitoramento das alterações hidrodinâmicas dos aquíferos</t>
  </si>
  <si>
    <t>2.1.4</t>
  </si>
  <si>
    <t>Recuperação de áreas degradadas e controle de processos erosivos</t>
  </si>
  <si>
    <t>Recuperação e gerenciamento de áreas contaminadas</t>
  </si>
  <si>
    <t>Regularização ambiental</t>
  </si>
  <si>
    <t>Fiscalização ambiental preventiva</t>
  </si>
  <si>
    <t>Elaboração de estudo de viabilidade técnica, econômica, sanitária e ambiental da recarga artificial de aquíferos</t>
  </si>
  <si>
    <t>Fomento a projetos e obras de ampliação dos sistemas de abastecimento de água</t>
  </si>
  <si>
    <t>Apoio institucional aos operadores para implementação de Programa de Pagamento por Resultados na redução e controle de perdas</t>
  </si>
  <si>
    <t>Implementação do Programa de Pagamento por Resultados na redução e controle de perdas</t>
  </si>
  <si>
    <t>Elaboração e revisão dos Planos Municipais de Saneamento Básico</t>
  </si>
  <si>
    <t>Prevenção e adaptação à eventos extremos</t>
  </si>
  <si>
    <t>Mapeamento de áreas de risco de desastres e fomento a elaboração dos Planos Municipais de Redução de Risco</t>
  </si>
  <si>
    <t>Conscientização sobre os riscos e preparação para enfrentamento de desastres</t>
  </si>
  <si>
    <t>Fortalecimento da Defesa Civil e elaboração dos Planos de Contingência</t>
  </si>
  <si>
    <t>Desenvolvimento de um sistema de previsão e alerta contra eventos extremos</t>
  </si>
  <si>
    <t>Desenvolvimento de pesquisas sobre as mudanças climáticas e suas implicações econômicas, sociais e ambientais na RMBH</t>
  </si>
  <si>
    <t>Controle de cheias, enxurradas e alagamentos</t>
  </si>
  <si>
    <t>Capacitação dos municípios em manejo sustentável de águas pluviais</t>
  </si>
  <si>
    <t>Elaboração e revisão dos Planos Diretores de Drenagem Urbana</t>
  </si>
  <si>
    <t>Fomento a projetos e obras de implantação e adequação dos sistemas de macrodrenagem municipais</t>
  </si>
  <si>
    <t>4.2.4</t>
  </si>
  <si>
    <t>3.3.3</t>
  </si>
  <si>
    <t>Elaboração do Plano Diretor de Macrodrenagem do Alto Rio das Velhas</t>
  </si>
  <si>
    <t>Atividade</t>
  </si>
  <si>
    <t>Conclusão dos estudos técnicos</t>
  </si>
  <si>
    <t>Descrição do Programa</t>
  </si>
  <si>
    <t>Descrição da Ação</t>
  </si>
  <si>
    <t>Certificação e reconhecimento por boas práticas ambientais</t>
  </si>
  <si>
    <t>Estimadas 150 horas de trabalho</t>
  </si>
  <si>
    <t>Horas</t>
  </si>
  <si>
    <t>-</t>
  </si>
  <si>
    <t>Elaboração de diagnósticos socioambientais e contratação dos Planos de Manejo</t>
  </si>
  <si>
    <t>Elaboração e aprovação dos Planos de Manejo</t>
  </si>
  <si>
    <t>tem_apost</t>
  </si>
  <si>
    <t>desccomi</t>
  </si>
  <si>
    <t>Instituição</t>
  </si>
  <si>
    <t>Unidade</t>
  </si>
  <si>
    <t>Remuneração (R$)</t>
  </si>
  <si>
    <t>teto</t>
  </si>
  <si>
    <t>judic</t>
  </si>
  <si>
    <t>ferias</t>
  </si>
  <si>
    <t>decter</t>
  </si>
  <si>
    <t>premio</t>
  </si>
  <si>
    <t>feriasprem</t>
  </si>
  <si>
    <t>jetons</t>
  </si>
  <si>
    <t>Eventual (R$)</t>
  </si>
  <si>
    <t>ir</t>
  </si>
  <si>
    <t>prev</t>
  </si>
  <si>
    <t>rem_pos</t>
  </si>
  <si>
    <t>ANAL. DE GESTAO E POL.PUB. EM DESENVOLVIMENTO</t>
  </si>
  <si>
    <t>NAO</t>
  </si>
  <si>
    <t>FGI-9</t>
  </si>
  <si>
    <t>AGENCIA RMBH</t>
  </si>
  <si>
    <t>GABINETE</t>
  </si>
  <si>
    <t>RESUMO</t>
  </si>
  <si>
    <t>DAI-26</t>
  </si>
  <si>
    <t>NUCLEO DE CONTABILIDADE E FINANCAS</t>
  </si>
  <si>
    <t>Nº Matric</t>
  </si>
  <si>
    <t>Orgão</t>
  </si>
  <si>
    <t>Remun</t>
  </si>
  <si>
    <t>Eventual</t>
  </si>
  <si>
    <t>Total</t>
  </si>
  <si>
    <t>H/mês</t>
  </si>
  <si>
    <t>R$/h</t>
  </si>
  <si>
    <t>Encargos</t>
  </si>
  <si>
    <t>FGI-8</t>
  </si>
  <si>
    <t>GERENCIA DE PLANEJAMENTO ORCAMENTO E FINANCAS</t>
  </si>
  <si>
    <t>DIRETORIA DE PLANEJAMENTO METROPOLITANO,</t>
  </si>
  <si>
    <t>ARSAE</t>
  </si>
  <si>
    <t>ESPEC.EM POLITICAS PUBLICAS E GESTAO GOVERNAMENTAL</t>
  </si>
  <si>
    <t>DIRETORIA DE REGULACAO METROPOLITANA</t>
  </si>
  <si>
    <t>NUCLEO PARA ASSESSORAMENTO TECNICO ESPECIAL</t>
  </si>
  <si>
    <t>DAI32</t>
  </si>
  <si>
    <t>FGI-7</t>
  </si>
  <si>
    <t>DAI40</t>
  </si>
  <si>
    <t>ARSAE MG</t>
  </si>
  <si>
    <t>COORDENADORIA TECNICA DE REGULACAO OPERACIONAL</t>
  </si>
  <si>
    <t>Adotado</t>
  </si>
  <si>
    <t>DAI-22</t>
  </si>
  <si>
    <t>Fonte: Portal Transparência MG; acesso 03/10/2023</t>
  </si>
  <si>
    <t>FUNCAO GRATIFICADA DE REGULACAO E FISCALIZACAO 1</t>
  </si>
  <si>
    <t>GERENCIA DE REGULACAO TARIFARIA</t>
  </si>
  <si>
    <t>Funções de Analista, Gestor, Especialista e Assessor</t>
  </si>
  <si>
    <t>Encargos (valores estimados) = encargos sociais (40%) + custos administrativos (10%) + despesas diretas associadas [equipamentos] (10%).</t>
  </si>
  <si>
    <t>DAI33</t>
  </si>
  <si>
    <t>GESTOR DE REGULACAO SERV.ABAST.AGUA ESG.SANITARIO</t>
  </si>
  <si>
    <t>GERENCIA DE PLANEJAMENTO GESTAO E FINANCAS</t>
  </si>
  <si>
    <t>OUVIDORIA</t>
  </si>
  <si>
    <t>ASSESSORIA DE COMUNICACAO SOCIAL</t>
  </si>
  <si>
    <t>GERENCIA DE INFORMACOES OPERACIONAIS</t>
  </si>
  <si>
    <t>Carga Hor.</t>
  </si>
  <si>
    <t>Custo (R$)</t>
  </si>
  <si>
    <t>Elaboração de TR</t>
  </si>
  <si>
    <t>Licitação e Contratação</t>
  </si>
  <si>
    <t>DAI-2</t>
  </si>
  <si>
    <t>FEAM FUNDACAO DO MEIO AMBIENTE</t>
  </si>
  <si>
    <t>GERENCIA DE RECUPERACAO AMBIENTAL INTEGRADA</t>
  </si>
  <si>
    <t>DAI-16</t>
  </si>
  <si>
    <t>GERENCIA DE LOGISTICA, COMPRAS E CONTRATOS</t>
  </si>
  <si>
    <t>ANALISTA AMBIENTAL</t>
  </si>
  <si>
    <t>GERENCIA DE RESIDUOS SOLIDOS</t>
  </si>
  <si>
    <t>GERENCIA DE RECUPERACAO DE AREAS DE MINERACAO E</t>
  </si>
  <si>
    <t>DAI-18</t>
  </si>
  <si>
    <t>DAI37</t>
  </si>
  <si>
    <t>DIRETORIA DE GESTAO DE RESIDUOS</t>
  </si>
  <si>
    <t>GERENCIA DE PLANEJAMENTO, ORCAMENTO, CONTABILIDADE</t>
  </si>
  <si>
    <t>PRESIDENCIA</t>
  </si>
  <si>
    <t>GERENCIA DE AVALIACAO AMBIENTAL E DESENVOLVIMENTO</t>
  </si>
  <si>
    <t>GERENCIA DE MONITORAMENTO DA QUALIDADE DO AR E</t>
  </si>
  <si>
    <t>GERENCIA DE PREVENCAO E EMERGENCIA AMBIENTAL</t>
  </si>
  <si>
    <t>GRATIF PELO DESENV DE ATIV DE FISCALIZACAO 1</t>
  </si>
  <si>
    <t>GERENCIA DA QUALIDADE DO SOLO E AREAS</t>
  </si>
  <si>
    <t>NUCLEO DE SUSTENTABILIDADE ENERGIA E MUDANCAS</t>
  </si>
  <si>
    <t>PROCURADORIA</t>
  </si>
  <si>
    <t>NUCLEO DE AUTOS DE INFRACAO</t>
  </si>
  <si>
    <t>DIRETORIA DE ADMINISTRACAO E FINANCAS</t>
  </si>
  <si>
    <t>NUCLEO DE GESTAO DE BARRAGENS</t>
  </si>
  <si>
    <t>DIRETORIA DE GESTAO DA QUALIDADE E</t>
  </si>
  <si>
    <t>SIM</t>
  </si>
  <si>
    <t>DIRETORIA DE INSTRUMENTOS DE GESTAO E</t>
  </si>
  <si>
    <t>PRESIDENTE - FEAM</t>
  </si>
  <si>
    <t>NUCLEO DE APOIO A PESQUISA PROGRAMAS E PROJETOS</t>
  </si>
  <si>
    <t>GESTOR AMBIENTAL</t>
  </si>
  <si>
    <t>NUCLEO DE EMERGENCIA AMBIENTAL</t>
  </si>
  <si>
    <t>GESTOR GOVERNAMENTAL</t>
  </si>
  <si>
    <t>CONTROLADORIA SECCIONAL</t>
  </si>
  <si>
    <t>TECNICO AMBIENTAL</t>
  </si>
  <si>
    <t>IEF INST EST DE FLORESTAS</t>
  </si>
  <si>
    <t>NUCLEO DE ADMINISTRACAO E FINANCASNORTE</t>
  </si>
  <si>
    <t>URFBIO - ZONA DA MATA - UBA</t>
  </si>
  <si>
    <t>GERENCIA DE RECUPERACAO AMBIENTAL E PLANEJAMENTO</t>
  </si>
  <si>
    <t>NUCLEO DE APOIO REGIONAL DE MANHUACU</t>
  </si>
  <si>
    <t>NUCLEO DE ADMINISTRACAO E FINANCAS NOROESTE</t>
  </si>
  <si>
    <t>NUCLEO DE APOIO REGIONAL DE CARANGOLA</t>
  </si>
  <si>
    <t>GRATIF PELO DESENV DE ATIV DE FISCALIZACAO 2</t>
  </si>
  <si>
    <t>NUCLEO DE REGULARIZACAO E CONTROLE AMBIENTAL NORTE</t>
  </si>
  <si>
    <t>URFBIO - RIO DOCE -GOVERNADOR VALADARES</t>
  </si>
  <si>
    <t>NUCLEO DE BIODIVERSIDADE SUL</t>
  </si>
  <si>
    <t>MONUMENTO NATURAL ESTADUAL DO ITATIAIA</t>
  </si>
  <si>
    <t>NUCLEO DE APOIO REGIONAL DE PATROCINIO</t>
  </si>
  <si>
    <t>NUCLEO DE CONTROLE PROCESSUAL CENTRO NORTE</t>
  </si>
  <si>
    <t>PARQUE ESTADUAL CAMINHO DOS GERAIS</t>
  </si>
  <si>
    <t>PARQUE ESTADUAL DA MATA DO LIMOEIRO</t>
  </si>
  <si>
    <t>URFBIO - ALTO PARANAIBA -PATOS DE MINAS</t>
  </si>
  <si>
    <t>GERENCIA DE LOGISTICA E PATRIMONIO</t>
  </si>
  <si>
    <t>NUCLEO DE CONTROLE PROCESSUAL CENTRO OESTE</t>
  </si>
  <si>
    <t>NUCLEO DE APOIO REGIONAL DE ARINOS</t>
  </si>
  <si>
    <t>URFBIO- ALTO MEDIO SAO FRANCISCO-JANUARIA</t>
  </si>
  <si>
    <t>NUCLEO DE ADMINISTRACAO E FINANCASCENTRO OESTE</t>
  </si>
  <si>
    <t>NUCLEO DE APOIO REGIONAL DE POMPEU</t>
  </si>
  <si>
    <t>NUCLEO DE APOIO REGIONAL DE PARA DE MINAS</t>
  </si>
  <si>
    <t>GERENCIA DE COMPENSACAO AMBIENTAL E REGULARIZACAO</t>
  </si>
  <si>
    <t>URFBIO - CENTRO-SUL - BARBACENA</t>
  </si>
  <si>
    <t>URFBIO - SUL - VARGINHA</t>
  </si>
  <si>
    <t>NUCLEO DE APOIO REGIONAL DE CARATINGA</t>
  </si>
  <si>
    <t>PARQUE ESTADUAL SERRA VERDE</t>
  </si>
  <si>
    <t>NUCLEO DE CONTROLE PROCESSUAL ALTOPARANAIBA</t>
  </si>
  <si>
    <t>NUCLEO DE APOIO REGIONAL DE JUIZ DE FORA</t>
  </si>
  <si>
    <t>MONUMENTO NATURAL ESTADUAL PICO DO ITABIRITO</t>
  </si>
  <si>
    <t>PARQUE ESTADUAL DA LAPA GRANDE</t>
  </si>
  <si>
    <t>GERENCIA DE CRIACAO E MANEJO DE UNIDADES DE</t>
  </si>
  <si>
    <t>APA - AREA DE PROTECAO AMBIENTAL AGUAS VERTENTES</t>
  </si>
  <si>
    <t>NUCLEO DE APOIO REGIONAL DE VICOSA</t>
  </si>
  <si>
    <t>NUCLEO DE REGULARIZACAO E CONTROLE AMBIENTAL</t>
  </si>
  <si>
    <t>CENTRO DE TRIAGEM E DE REABILITACAO DE ANIMAIS</t>
  </si>
  <si>
    <t>NUCLEO DE BIODIVERSIDADE MATA</t>
  </si>
  <si>
    <t>PARQUE ESTADUAL DE NOVA BADEN</t>
  </si>
  <si>
    <t>DIRETORIA DE UNIDADES DE CONSERVACAO</t>
  </si>
  <si>
    <t>GERENCIA DE CONTABILIDADE E FINANCAS</t>
  </si>
  <si>
    <t>NUCLEO DE BIODIVERSIDADE NOROESTE</t>
  </si>
  <si>
    <t>NUCLEO DE REGULARIZACAO E CONTROLE AMBIENTALSUL</t>
  </si>
  <si>
    <t>DIRETORIA DE CONSERVACAO E RECUPERACAO DE</t>
  </si>
  <si>
    <t>NUCLEO DE APOIO REGIONAL DE CURVELO</t>
  </si>
  <si>
    <t>URFBIO - TRIANGULO - UBERLANDIA</t>
  </si>
  <si>
    <t>NUCLEO DE APOIO REGIONAL DE TIRADENTES</t>
  </si>
  <si>
    <t>DAI-21</t>
  </si>
  <si>
    <t>NUCLEO DE PROJETOS ESPECIAIS</t>
  </si>
  <si>
    <t>GERENCIA DE REPOSICAO FLORESTAL E</t>
  </si>
  <si>
    <t>AFLOBIO IPANEMA</t>
  </si>
  <si>
    <t>FGI-4</t>
  </si>
  <si>
    <t>DIRETORIA DE CONTROLE MONITORAMENTO E</t>
  </si>
  <si>
    <t>NUCLEO DE APOIO REGIONAL DE CAXAMBU</t>
  </si>
  <si>
    <t>PARQUE ESTADUAL DE IBITIPOCA</t>
  </si>
  <si>
    <t>NUCLEO DE BIODIVERSIDADE TRIANGULO</t>
  </si>
  <si>
    <t>GERENCIA DE CONSERVACAO E RESTAURACAO DE FAUNA</t>
  </si>
  <si>
    <t>NUCLEO DE ADMINISTRACAO E FINANCAS METROPOLITANA</t>
  </si>
  <si>
    <t>NUCLEO DE BIODIVERSIDADE RIO DOCE</t>
  </si>
  <si>
    <t>NUCLEO DE CONTROLE PROCESSUAL TRIANGULO</t>
  </si>
  <si>
    <t>ESTACAO ECOLOGICA DA MATA DO CEDRO</t>
  </si>
  <si>
    <t>NUCLEO DE ADMINISTRACAO E FINANCASNORDESTE</t>
  </si>
  <si>
    <t>URFBIO - METROPOLITANA - BELO HORIZONTE</t>
  </si>
  <si>
    <t>NUCLEO DE ADMINISTRACAO E FINANCAS ALTO PARANAIBA</t>
  </si>
  <si>
    <t>DAI-4</t>
  </si>
  <si>
    <t>NUCLEO DE REGULARIZACAO E CONTROLE AMBIENTAL MATA</t>
  </si>
  <si>
    <t>NUCLEO DE BIODIVERSIDADE CENTRO OESTE</t>
  </si>
  <si>
    <t>FGI-3</t>
  </si>
  <si>
    <t>NUCLEO DE BIODIVERSIDADE JEQUITINHONHA</t>
  </si>
  <si>
    <t>NUCLEO DE APOIO REGIONAL DE ARCOS</t>
  </si>
  <si>
    <t>GERENCIA DE MONITORAMENTO TERRITORIAL E</t>
  </si>
  <si>
    <t>PARQUE ESTADUAL DA SERRA DO ROLA MOCA</t>
  </si>
  <si>
    <t>PARQUE ESTADUAL DO RIO DOCE</t>
  </si>
  <si>
    <t>GERENCIA DE PLANEJAMENTO E ORCAMENTO</t>
  </si>
  <si>
    <t>NUCLEO DE APOIO REGIONAL DE ARAXA</t>
  </si>
  <si>
    <t>CENTRO DE TRIAGEM DE REABILITACAO DE ANIMAIS</t>
  </si>
  <si>
    <t>VIVEIRO MONTES CLAROS</t>
  </si>
  <si>
    <t>NUCLEO DE BIODIVERSIDADE NORDESTE</t>
  </si>
  <si>
    <t>NUCLEO DE BIODIVERSIDADE ALTO PARANAIBA</t>
  </si>
  <si>
    <t>APA - AREA DE PROTECAO AMBIENTAL - SERRA SAO JOSE</t>
  </si>
  <si>
    <t>DIRETORIA DE PROTECAO A FAUNA</t>
  </si>
  <si>
    <t>NUCLEO DE ADMINISTRACAO E FINANCASCENTRO</t>
  </si>
  <si>
    <t>URFBIO - NORDESTE - TEOFILO OTONI</t>
  </si>
  <si>
    <t>NUCLEO DE APOIO REGIONAL DE LAVRAS</t>
  </si>
  <si>
    <t>NUCLEO DE BIODIVERSIDADE NORTE</t>
  </si>
  <si>
    <t>AFLOBIO SALINAS</t>
  </si>
  <si>
    <t>VIVEIRO CAETE</t>
  </si>
  <si>
    <t>NUCLEO DE APOIO REGIONAL DE PARACATU</t>
  </si>
  <si>
    <t>NUCLEO DE APOIO REGIONAL DE ITUIUTABA</t>
  </si>
  <si>
    <t>AFLOBIO PITANGUI</t>
  </si>
  <si>
    <t>FLORESTA ESTADUAL DO UAIMII</t>
  </si>
  <si>
    <t>NUCLEO DE APOIO REGIONAL DE GUANHAES</t>
  </si>
  <si>
    <t>NUCLEO DE APOIO REGIONAL DE POCOS DE CALDAS</t>
  </si>
  <si>
    <t>NUCLEO DE APOIO REGIONAL DE TIMOTEO</t>
  </si>
  <si>
    <t>APA - AREA DE PROTECAOAMBIENTAL LAJEDAO</t>
  </si>
  <si>
    <t>GERENCIA DE CONSERVACAO E RESTAURACAO DE FAUNA E</t>
  </si>
  <si>
    <t>NUCLEO DE BIODIVERSIDADE METROPOLITANA</t>
  </si>
  <si>
    <t>VIVEIRO JUIZ DE FORA</t>
  </si>
  <si>
    <t>NUCLEO DE ADMINISTRACAO E FINANCASSUL</t>
  </si>
  <si>
    <t>DAI-11</t>
  </si>
  <si>
    <t>URFBIO- CENTRO-OESTE - DIVINOPOLIS</t>
  </si>
  <si>
    <t>MONUMENTO NATURAL SERRA DA MOEDA</t>
  </si>
  <si>
    <t>NUCLEO DE APOIO REGIONAL DE POUSO ALEGRE</t>
  </si>
  <si>
    <t>ESTACAO ECOLOGICA AGUA LIMPA</t>
  </si>
  <si>
    <t>NUCLEO DE APOIO REGIONAL DE OLIVEIRA</t>
  </si>
  <si>
    <t>NUCLEO DE ADMINISTRACAO E FINANCASMATA</t>
  </si>
  <si>
    <t>PARQUE ESTADUAL SERRA DO INTENDENTE</t>
  </si>
  <si>
    <t>AFLOBIO COROMANDEL</t>
  </si>
  <si>
    <t>URFBIO - NOROESTE - UNAI</t>
  </si>
  <si>
    <t>AFLOBIO FORMIGA</t>
  </si>
  <si>
    <t>GERENCIA DE COMPENSACAO AMBIENTAL</t>
  </si>
  <si>
    <t>APA - AREA DE PROTECAO AMBIENTAL RIO UBERABA</t>
  </si>
  <si>
    <t>DAD-6</t>
  </si>
  <si>
    <t>NUCLEO DE BIODIVERSIDADE CENTRO NORTE</t>
  </si>
  <si>
    <t>NUCLEO DE BIODIVERSIDADE CENTRO SUL</t>
  </si>
  <si>
    <t>NUCLEO DE CONTROLE PROCESSUAL NORDESTE</t>
  </si>
  <si>
    <t>AFLOBIO LIMA DUARTE</t>
  </si>
  <si>
    <t>APA - AREA DE PROTECAO AMBIENTAL FERNAO DIAS</t>
  </si>
  <si>
    <t>APA - AREA DE PROTECAO AMBIENTAL KRAMBEC</t>
  </si>
  <si>
    <t>PARQUE ESTADUAL SERRA DA CANDONGA</t>
  </si>
  <si>
    <t>NUCLEO DE ADMINISTRACAO E FINANCASTRIANGULO</t>
  </si>
  <si>
    <t>VIVEIRO CORINTO</t>
  </si>
  <si>
    <t>AFLOBIO ITAUNA</t>
  </si>
  <si>
    <t>PARQUE ESTADUAL DO BIRIBIRI</t>
  </si>
  <si>
    <t>PARQUE ESTADUAL DO SUMIDOURO</t>
  </si>
  <si>
    <t>NUCLEO DE APOIO REGIONAL DE DIVISA ALEGRE</t>
  </si>
  <si>
    <t>NUCLEO DE APOIO REGIONAL DE SAO FRANCISCO</t>
  </si>
  <si>
    <t>NUCLEO DE CONTROLE PROCESSUAL SUL</t>
  </si>
  <si>
    <t>MONUMENTO NATURAL ESTADUAL PICO DO IBITURUNA</t>
  </si>
  <si>
    <t>NUCLEO DE APOIO AO CONSELHO DE ADMINISTRACAO E</t>
  </si>
  <si>
    <t>URFBIO - CENTRO-NORTE - SETE LAGOAS</t>
  </si>
  <si>
    <t>NUCLEO DE CONTROLE PROCESSUAL MATA</t>
  </si>
  <si>
    <t>NUCLEO DE APOIO REGIONAL DE MURIAE</t>
  </si>
  <si>
    <t>AFLOBIO SAO JOAO NEPOMUCENO</t>
  </si>
  <si>
    <t>GERENCIA DE REGULARIZACAO DAS ATIVIDADES</t>
  </si>
  <si>
    <t>NUCLEO DE APOIO REGIONAL DE JANAUBA</t>
  </si>
  <si>
    <t>NUCLEO DE APOIO REGIONAL DE PATOS DE MINAS</t>
  </si>
  <si>
    <t>ASSISTENTE DE GESTAO E POLITICAS PUBLICAS EM DESEN</t>
  </si>
  <si>
    <t>APA - AREA DE PROTECAO AMBIENTAL - PARQUE FERNAO</t>
  </si>
  <si>
    <t>GERENCIA DE COMPRAS E CONTRATOS</t>
  </si>
  <si>
    <t>AFLOBIO BETIM</t>
  </si>
  <si>
    <t>NUCLEO DE APOIO REGIONAL DE JANUARIA</t>
  </si>
  <si>
    <t>NUCLEO DE REGULARIZACAO E CONTROLE AMBIENTAL ALTO</t>
  </si>
  <si>
    <t>NUCLEO DE ADMINISTRACAO E FINANCASALTO</t>
  </si>
  <si>
    <t>PARQUE ESTADUAL SERRA DO OURO BRANCO</t>
  </si>
  <si>
    <t>GERENCIA DE FOMENTO E RECUPERACAO AMBIENTAL</t>
  </si>
  <si>
    <t>GERENCIA DE IMPLANTACAO E MANEJO DE UNIDADES DAS</t>
  </si>
  <si>
    <t>BASE OPERACIONAL FORCA TAREFA DE CURVELO</t>
  </si>
  <si>
    <t>NUCLEO DE APOIO REGIONAL DE TAIOBEIRAS</t>
  </si>
  <si>
    <t>NUCLEO DE APOIO REGIONAL DE PASSOS</t>
  </si>
  <si>
    <t>PARQUE SERRA DO PAPAGAIO</t>
  </si>
  <si>
    <t>DAI-8</t>
  </si>
  <si>
    <t>GERENCIA DE PREVENCAO E COMBATE A INCENDIOS</t>
  </si>
  <si>
    <t>NUCLEO DE APOIO REGIONAL DE PIRAPORA</t>
  </si>
  <si>
    <t>IGAM INST DE GESTAO DAS AGUAS</t>
  </si>
  <si>
    <t>UNIDADE REGIONAL DE GESTAO DE AGUAS ALTO SAO</t>
  </si>
  <si>
    <t>ASSESSORIA DE PROGRAMAS, PROJETOS E PESQUISA</t>
  </si>
  <si>
    <t>GERENCIA DE REGULACAO DE USOS DE</t>
  </si>
  <si>
    <t>UNIDADE REGIONAL DE GESTAO DE AGUAS NOROESTE</t>
  </si>
  <si>
    <t>GERENCIA DE PLANEJAMENTOT DE RECURSOS HIDRICOS</t>
  </si>
  <si>
    <t>GERENCIA DE MONITORAMENTO DA QUALIDADE DAS AGUAS</t>
  </si>
  <si>
    <t>GERENCIA DE INSTRUMENTOS ECONOMICOS DE GESTAO</t>
  </si>
  <si>
    <t>GERENCIA DO SISTEMA ESTADUAL DE INFORMACOES SOBRE</t>
  </si>
  <si>
    <t>UNIDADE REGIONAL DE GESTAO DE AGUAS TRIANGULO</t>
  </si>
  <si>
    <t>UNIDADE REGIONAL DE GESTAO DAS AGUAS - CENTRAL</t>
  </si>
  <si>
    <t>UNIDADE REGIONAL DE GESTAO DE AGUAS NORTE DE MINAS</t>
  </si>
  <si>
    <t>GERENCIA DE APOIO AOS COMITES DE BACIAS</t>
  </si>
  <si>
    <t>GERENCIA DE APOIO AS AGENCIAS DE BACIAS</t>
  </si>
  <si>
    <t>GERENCIA DE MONITORAMENTO HIDROMETEREOLOGICO</t>
  </si>
  <si>
    <t>DIRETORIA DE PLANEJAMENTO E REGULACAO</t>
  </si>
  <si>
    <t>DAI-6</t>
  </si>
  <si>
    <t>UNIDADE REGIONAL DE GESTAO DAS AGUAS ZONA DA MATA</t>
  </si>
  <si>
    <t>DIRETOR-GERAL - IGAM</t>
  </si>
  <si>
    <t>DIRETOR-GERAL</t>
  </si>
  <si>
    <t>UNIDADE REGIONAL DE GESTAO DE AGUAS LESTE MINEIRO</t>
  </si>
  <si>
    <t>DIRETORIA DE GESTAO E APOIO AO SISTEMA ESTADUAL</t>
  </si>
  <si>
    <t>GERENCIA DE SEGURANCA DE BARRAGENS E SISTEMAS</t>
  </si>
  <si>
    <t>DAI-19</t>
  </si>
  <si>
    <t>NUCLEO DE AUTO DE INFRACAO</t>
  </si>
  <si>
    <t>DIVISAO DE GESTAO DE RECURSOS HUMANOS E LOGISTICOS</t>
  </si>
  <si>
    <t>DIRETORIA DE OPERACOES E EVENTOS CRITICOS</t>
  </si>
  <si>
    <t>GERENCIA DE PATRIMONIO E LOGISTICA</t>
  </si>
  <si>
    <t>AUDITOR INTERNO</t>
  </si>
  <si>
    <t>AUXILIAR AMBIENTAL</t>
  </si>
  <si>
    <t>UNIDADE REGIONAL DE GESTAO DE AGUAS SUL DE</t>
  </si>
  <si>
    <t>DAI-14</t>
  </si>
  <si>
    <t>Carga Horária</t>
  </si>
  <si>
    <t>ARMBH</t>
  </si>
  <si>
    <t xml:space="preserve">Implementação, monitoramento e realização de revisões periódicas dos Planos de Manejo </t>
  </si>
  <si>
    <t>Divulgação e apresentação dos resultados do PSH-RMBH</t>
  </si>
  <si>
    <t>Estimadas 160 horas de trabalho</t>
  </si>
  <si>
    <t>Estimadas 320 horas de trabalho</t>
  </si>
  <si>
    <t>Contratação dos projetos</t>
  </si>
  <si>
    <t>Implantação dos projetos</t>
  </si>
  <si>
    <t>Monitoramento</t>
  </si>
  <si>
    <t>Considerado o custo de R$ 500.0000 por projeto a ser contratado e contratação de 56 projetos</t>
  </si>
  <si>
    <t>Formação de Grupo de Trabalho</t>
  </si>
  <si>
    <t>Levantamento de oportunidades</t>
  </si>
  <si>
    <t>Criação de condicionantes para outorga do direito de uso da água</t>
  </si>
  <si>
    <t>Estimadas 960 horas de trabalho</t>
  </si>
  <si>
    <t>Estimadas 640 horas de trabalho</t>
  </si>
  <si>
    <t>ESFORÇOS</t>
  </si>
  <si>
    <t>6 meses</t>
  </si>
  <si>
    <t>Combustível (litro)</t>
  </si>
  <si>
    <t>Objeto orçado: Estudo para identificação de oportunidades para redução da demanda e otimização do uso da água na indústria</t>
  </si>
  <si>
    <t>Ver orçamento na planilha Ação 2.1.1.</t>
  </si>
  <si>
    <t>Ver orçamento na planilha Ação 2.1.2.</t>
  </si>
  <si>
    <t>Objeto orçado: Estudo para identificação de oportunidades para redução da demanda e otimização do uso da água na produção agrícola.</t>
  </si>
  <si>
    <t>Ver orçamento na planilha Ação 2.1.3.</t>
  </si>
  <si>
    <t>Objeto orçado: Estudo para identificação de oportunidades para o avanço no tratamento dos resíduos e efluentes, redução das demandas e otimização do uso da água na mineração</t>
  </si>
  <si>
    <t>Seleção dos pontos, definição dos parâmetros e frequência de monitoramento</t>
  </si>
  <si>
    <t>Instalação dos piezômetros</t>
  </si>
  <si>
    <t>12 meses</t>
  </si>
  <si>
    <t xml:space="preserve">Objeto orçado: Estudo hidrogeológico para a elaboração do modelo conceitual dos aquíferos </t>
  </si>
  <si>
    <t>Ver orçamento na planilha Ação 2.1.4.</t>
  </si>
  <si>
    <t>Elaboração do modelo conceitual dos aquíferos selecionados</t>
  </si>
  <si>
    <t>Seleção dos aquíferos a serem monitorados</t>
  </si>
  <si>
    <t>Identificação de oportunidades</t>
  </si>
  <si>
    <t>Criação de condicionantes no processo de licenciamento ambiental</t>
  </si>
  <si>
    <t>Levantamento de dados e identificação de ameaças</t>
  </si>
  <si>
    <t>Formulação de diretrizes para o Plano de Ação</t>
  </si>
  <si>
    <t>Elaboração do Plano de Ação:</t>
  </si>
  <si>
    <t>Elaboração do Plano de Fiscalização Ambiental Preventiva</t>
  </si>
  <si>
    <t>Capacitação e treinamento</t>
  </si>
  <si>
    <t>Implementação e monitoramento</t>
  </si>
  <si>
    <t>Criação do Programa Estadual de Certificação Ambiental</t>
  </si>
  <si>
    <t>Implementação do Programa de Certificação Ambiental</t>
  </si>
  <si>
    <t>Validação da certificação</t>
  </si>
  <si>
    <t>Elaboração de Termo de Referência</t>
  </si>
  <si>
    <t>Licitação e contratação</t>
  </si>
  <si>
    <t>Elaboração do Estudo de Alternativas</t>
  </si>
  <si>
    <t>Elaboração do Estudo</t>
  </si>
  <si>
    <t>Licitação e contratação de consultoria especializada</t>
  </si>
  <si>
    <t>Recebimento das demandas de estudos técnicos e elaboração dos TRs</t>
  </si>
  <si>
    <t>Licitação e contratação dos estudos técnicos</t>
  </si>
  <si>
    <t>Seleção das UCs e composição de conselhos gestores</t>
  </si>
  <si>
    <t>Conclusão dos projetos e obras de abastecimento de água em andamento</t>
  </si>
  <si>
    <t xml:space="preserve">Realização de estudos de concepção, estudos de viabilidade e anteprojetos </t>
  </si>
  <si>
    <t xml:space="preserve">Elaboração de projetos básicos e executivos </t>
  </si>
  <si>
    <t>Execução das obras de ampliação dos sistemas de abastecimento de água.</t>
  </si>
  <si>
    <t>Concepção do apoio institucional</t>
  </si>
  <si>
    <t>Implementação do apoio institucional</t>
  </si>
  <si>
    <t>Constituição de DMC – Distritos de Medição e Controle</t>
  </si>
  <si>
    <t>Pactuação de valores físicos e financeiros a serem praticados</t>
  </si>
  <si>
    <t>Implementação do Programa de Pagamento por Resultados</t>
  </si>
  <si>
    <t>Elaboração de Termos de Referência</t>
  </si>
  <si>
    <t>Aprovação e implementação do Plano</t>
  </si>
  <si>
    <t>Execução das obras de ampliação dos sistemas de coleta e tratamento de esgotos</t>
  </si>
  <si>
    <t>Elaboração do Estudo de Viabilidade</t>
  </si>
  <si>
    <t>Identificação de municípios que necessitam de assistência técnica</t>
  </si>
  <si>
    <t>Fornecimento de assistência técnica</t>
  </si>
  <si>
    <t>Acompanhamento das ações de recuperação das áreas degradadas</t>
  </si>
  <si>
    <t xml:space="preserve">Pactuação de estratégias e ações </t>
  </si>
  <si>
    <t xml:space="preserve">Acompanhamento da implementação das ações </t>
  </si>
  <si>
    <t>Incentivo a ações de limpeza e despoluição dos rios</t>
  </si>
  <si>
    <t xml:space="preserve">Elaboração de Termos de Referência </t>
  </si>
  <si>
    <t>Aprovação e implementação dos Planos</t>
  </si>
  <si>
    <t>Elaboração de materiais para campanhas de conscientização e capacitação</t>
  </si>
  <si>
    <t>Realização de campanhas de conscientização e capacitação</t>
  </si>
  <si>
    <t>Realização de campanhas de fiscalização de áreas de risco de desastres</t>
  </si>
  <si>
    <t>Articulação entre as prefeituras e a Defesa Civil Estadual</t>
  </si>
  <si>
    <t>Capacitação e Fortalecimento da Defesa Civil</t>
  </si>
  <si>
    <t>Elaboração e atualização de Planos de Contingência</t>
  </si>
  <si>
    <t>Concepção do sistema de previsão e alerta</t>
  </si>
  <si>
    <t xml:space="preserve">Seleção das áreas e instalação dos pontos de monitoramento necessários </t>
  </si>
  <si>
    <t>Elaboração do sistema de previsão e alerta</t>
  </si>
  <si>
    <t>Implementação do sistema</t>
  </si>
  <si>
    <t>Identificação de pontos de interesse para pesquisas</t>
  </si>
  <si>
    <t>Chamamento público e estabelecimento de convênios com instituições de ensino e pesquisa</t>
  </si>
  <si>
    <t>Desenvolvimento das pesquisas e apresentação dos resultados</t>
  </si>
  <si>
    <t>Elaboração de materiais para capacitação dos municípios</t>
  </si>
  <si>
    <t>Realização de Workshops e Treinamentos</t>
  </si>
  <si>
    <t>Desenvolvimento de Manuais e Guias</t>
  </si>
  <si>
    <t>Regulamentação das boas práticas de drenagem sustentável</t>
  </si>
  <si>
    <t>Elaboração dos Planos Diretores de Drenagem Urbana</t>
  </si>
  <si>
    <t>Conclusão dos projetos e obras de macrodrenagem em andamento</t>
  </si>
  <si>
    <t>Conclusão dos projetos e obras de esgotamento sanitário em andamento</t>
  </si>
  <si>
    <t>Execução das obras de adequação da macrodrenagem</t>
  </si>
  <si>
    <t xml:space="preserve">Elaboração do Termo de Referência </t>
  </si>
  <si>
    <t>Identificação das barragens de rejeito</t>
  </si>
  <si>
    <t>Cadastramento das barragens de rejeito</t>
  </si>
  <si>
    <t>Conclusão do Sigibar</t>
  </si>
  <si>
    <t>Operacionalização do Sistema</t>
  </si>
  <si>
    <t>Concepção e estruturação de sistemática de controle das inspeções</t>
  </si>
  <si>
    <t>Implementação das ações legais decorrentes</t>
  </si>
  <si>
    <t>Implementação da sistemática de controle das inspeções, revisões e auditorias técnicas de segurança</t>
  </si>
  <si>
    <t>Estimadas 250 horas de trabalho</t>
  </si>
  <si>
    <t>Ver orçamento na planilha Ação 3.1.1</t>
  </si>
  <si>
    <t>Ver orçamento na planilha Ação 3.1.2</t>
  </si>
  <si>
    <t>Ver orçamento na planilha Ação 3.1.3</t>
  </si>
  <si>
    <t>Operadores</t>
  </si>
  <si>
    <t>FIEMG</t>
  </si>
  <si>
    <t>FAEMG</t>
  </si>
  <si>
    <t>Elaboração dos Planos Municipais de Saneamento Básico</t>
  </si>
  <si>
    <t>Considerado o custo de R$ 500.0000 por PMSB e 11 PMSBs contratados</t>
  </si>
  <si>
    <t>Municípios</t>
  </si>
  <si>
    <t>Ver orçamento na planilha Ação 3.3.3</t>
  </si>
  <si>
    <t>Total Ação 3.3.2</t>
  </si>
  <si>
    <t>Total Estudos e Projetos</t>
  </si>
  <si>
    <t>Pop Tot</t>
  </si>
  <si>
    <t>Atlas Água (ANA, 2021)</t>
  </si>
  <si>
    <t>Programa Redução Perdas</t>
  </si>
  <si>
    <t>Custo Espec. PSH</t>
  </si>
  <si>
    <t xml:space="preserve">Custo </t>
  </si>
  <si>
    <t>Pop Beneficiada</t>
  </si>
  <si>
    <t>Custo:R$/hab</t>
  </si>
  <si>
    <t xml:space="preserve">Apoio institucional aos operadores para implementação de Programa de Pagamento por Resultados na redução e controle de perdas </t>
  </si>
  <si>
    <t>Ojeto orçado: Programa de Redução de Perdas</t>
  </si>
  <si>
    <t>Pop Urb Atendida</t>
  </si>
  <si>
    <t>Ver orçamento na planilha Ação 3.2.2. Considerado 50% do valor orçado para apoio institucional.</t>
  </si>
  <si>
    <t>Ver orçamento na planilha Ação 3.2.2. Para pactuação de valores físicos e financeiros foi consideado 1% do valor total do Programa</t>
  </si>
  <si>
    <t>Ver orçamento na planilha Ação 3.2.2.  Para constituição de DMC foi considerado 4% do valor total do Programa</t>
  </si>
  <si>
    <t>Ver orçamento na planilha Ação 3.2.2. Para implementação do programa foi considerado 95% do valor total do Programa</t>
  </si>
  <si>
    <t>Estimadas 1920 horas de trabalho</t>
  </si>
  <si>
    <t>Estimadas 480 horas de trabalho</t>
  </si>
  <si>
    <t>Estimadas 1440 horas de trabalho</t>
  </si>
  <si>
    <t>Considerado o custo de R$ 560.0000 por PMRR e 22 PMRRs contratados</t>
  </si>
  <si>
    <t>Agência RMBH / Prefeituras Municipais</t>
  </si>
  <si>
    <t>Estimadas 160 horas de trabalho e 22 municípios</t>
  </si>
  <si>
    <t>Considerado o custo de R$ 20.000 para a elaboração de materiais e 22 municípios</t>
  </si>
  <si>
    <t>Considerado o custo de R$ 10.000 por ano para a realização de uma campanha anual, durante 28 anos em 22 municípios.</t>
  </si>
  <si>
    <t>Considerado o custo de R$ 200.0000 por Plano de Contingência e 22 Planos</t>
  </si>
  <si>
    <t>Mapeamento das áreas de risco e elaboração dos Planos Municipais de Redução de Risco</t>
  </si>
  <si>
    <t>Estimadas 960 horas de trabalho para compilação das áreas de risco + 5 estações telemétricas instaladas no valor de R$ 63.561.</t>
  </si>
  <si>
    <t>Ver orçamento na planilha Ação 4.1.4</t>
  </si>
  <si>
    <t>Considerado o custo de R$ 600.0000 por pesquisa e 5 pesquisas</t>
  </si>
  <si>
    <t>Considerado o custo de R$ 50.000 para a elaboração de materiais</t>
  </si>
  <si>
    <t>Considerado o custo de R$ 560.0000 por PDDU e 16 PDDUs contratados</t>
  </si>
  <si>
    <t>Objeto orçado: Desenvolvimento de um sistema de previsão e alerta contra eventos extremos</t>
  </si>
  <si>
    <t>Ver orçamento na planilha Ação 4.2.4</t>
  </si>
  <si>
    <t>Estimadas 600 horas de trabalho</t>
  </si>
  <si>
    <t>Estimada uma carga horária de 960 horas/módulo e conclusão de 10 módulos</t>
  </si>
  <si>
    <t>Estimadas 800 horas de trabalho</t>
  </si>
  <si>
    <t>Estimadas 1600 horas de trabalho</t>
  </si>
  <si>
    <t>Desenvolvimento de Sistema de Gestão de Riscos da Infraestrutura Hídrica</t>
  </si>
  <si>
    <t>Operacionalização do Sistema de Gestão de Riscos da Infraestrutura Hídrica</t>
  </si>
  <si>
    <t>Estimadas 150 horas de trabalho para cada TR e 5 TRs elaborados.</t>
  </si>
  <si>
    <t>Estimadas 250 horas de trabalho para licitação de cada estudo e 5 estudos licitados.</t>
  </si>
  <si>
    <t>Considerado o custo de R$ 250.0000 por estudo técnico e contratação de 5 estudos.</t>
  </si>
  <si>
    <t>Considerado o custo de R$ 160.0000 para a formação de conselhos gestores e formação de 10 conselhos gestores.</t>
  </si>
  <si>
    <t>Considerado o custo de R$ 225.0000 para a elaboração de diagnósticos socioambientais e elaboração de 10 diagnósticos.</t>
  </si>
  <si>
    <t>Considerado o custo de R$ 350.0000 por Plano de Manejo e contratação de 10 Planos de Manejo.</t>
  </si>
  <si>
    <t>Agência RMBH, IGAM e IEF</t>
  </si>
  <si>
    <t>Estimadas 250 horas de trabalho para contratação de cada projeto e contratação de 2 projetos por ano, durante 28 anos.</t>
  </si>
  <si>
    <t>Municípios prioritários</t>
  </si>
  <si>
    <t>População total do município (hab)</t>
  </si>
  <si>
    <t>Índice de atendimento total de água (%)</t>
  </si>
  <si>
    <t>População que falta ser atendida para atingimento da meta (99%)</t>
  </si>
  <si>
    <t>IN055</t>
  </si>
  <si>
    <t>R$ (milhões)</t>
  </si>
  <si>
    <t>Projetos de Distribuição</t>
  </si>
  <si>
    <t>Descrição da Atividade</t>
  </si>
  <si>
    <t>Rótulos de Linha</t>
  </si>
  <si>
    <t>Total Geral</t>
  </si>
  <si>
    <t>Soma de Orçamento (R$)</t>
  </si>
  <si>
    <t>Rótulos de Coluna</t>
  </si>
  <si>
    <t xml:space="preserve"> (jun/22)</t>
  </si>
  <si>
    <t xml:space="preserve"> (set/23)</t>
  </si>
  <si>
    <t>Custo reservação(R$/m³):</t>
  </si>
  <si>
    <t>Custo rede de distribuição(R$/hab):</t>
  </si>
  <si>
    <t>Volume a ser reservado (m³)</t>
  </si>
  <si>
    <t>Custo reservação (R$)</t>
  </si>
  <si>
    <t>Custo rede de distribuição (R$)</t>
  </si>
  <si>
    <t>Total (R$)</t>
  </si>
  <si>
    <t>Obras de Distribuição</t>
  </si>
  <si>
    <t>Nº Programa</t>
  </si>
  <si>
    <t>Nº Ação</t>
  </si>
  <si>
    <t xml:space="preserve">Orçamento (R$) </t>
  </si>
  <si>
    <t>(R$)</t>
  </si>
  <si>
    <t>(%)</t>
  </si>
  <si>
    <t>EIXO 3: GARANTIA DE ACESSO A ÁGUA</t>
  </si>
  <si>
    <t>EIXO 4: EVENTOS EXTREMOS</t>
  </si>
  <si>
    <t>Gestão (R$)</t>
  </si>
  <si>
    <t>Estudos/ projetos (R$)</t>
  </si>
  <si>
    <t>Obras (R$)</t>
  </si>
  <si>
    <t>Ampliação das reservas hídricas e da infraestrutura de abastecimento de água</t>
  </si>
  <si>
    <t>Ações</t>
  </si>
  <si>
    <t>Código</t>
  </si>
  <si>
    <t>Título</t>
  </si>
  <si>
    <t>Município/ Bacia</t>
  </si>
  <si>
    <t xml:space="preserve">Corpo Hídrico </t>
  </si>
  <si>
    <t>Fase</t>
  </si>
  <si>
    <t>Situação</t>
  </si>
  <si>
    <t>Orçamento (milhões R$)</t>
  </si>
  <si>
    <t>Responsáveis</t>
  </si>
  <si>
    <t>E_048</t>
  </si>
  <si>
    <t>Ampliação do SAA de Caeté</t>
  </si>
  <si>
    <t>Subterrâneo</t>
  </si>
  <si>
    <t>Projeto Executivo</t>
  </si>
  <si>
    <t>Concluído</t>
  </si>
  <si>
    <t>SAAE-Caeté</t>
  </si>
  <si>
    <t>E_062</t>
  </si>
  <si>
    <t>Ampliação do SAA de Ibirité</t>
  </si>
  <si>
    <t>Paralisadas</t>
  </si>
  <si>
    <t>COPASA e Prefeitura Municipal</t>
  </si>
  <si>
    <t>E_074</t>
  </si>
  <si>
    <t>Ampliação do SAA de Igarapé</t>
  </si>
  <si>
    <t>Em execução</t>
  </si>
  <si>
    <t>E_079</t>
  </si>
  <si>
    <t>Ampliação do SAA de Itaguara</t>
  </si>
  <si>
    <t>Córrego Cachoeira</t>
  </si>
  <si>
    <t>Não Iniciadas</t>
  </si>
  <si>
    <t>SAAE-Itaguara</t>
  </si>
  <si>
    <t>E_233</t>
  </si>
  <si>
    <t>Ampliação do SAA de Jequitibá</t>
  </si>
  <si>
    <t>Plano</t>
  </si>
  <si>
    <t>Idealizado</t>
  </si>
  <si>
    <t>E_092</t>
  </si>
  <si>
    <t>Ampliação do SAA de Lagoa Santa</t>
  </si>
  <si>
    <t>COPASA</t>
  </si>
  <si>
    <t>E_189</t>
  </si>
  <si>
    <t>Obra de filtragem e cloração de água para abastecimento público</t>
  </si>
  <si>
    <t>E_257</t>
  </si>
  <si>
    <t>Ampliação do SAA de Ouro Preto</t>
  </si>
  <si>
    <t>Projeto Básico</t>
  </si>
  <si>
    <t>Saneouro</t>
  </si>
  <si>
    <t>E_190</t>
  </si>
  <si>
    <t>Ampliação do SAA de Pará de Minas</t>
  </si>
  <si>
    <t>Rio Pará</t>
  </si>
  <si>
    <t>CAPAM</t>
  </si>
  <si>
    <t>E_259</t>
  </si>
  <si>
    <t>Ampliação do SAA de Pequi</t>
  </si>
  <si>
    <t>Prefeitura Municipal</t>
  </si>
  <si>
    <t>E_272</t>
  </si>
  <si>
    <t>Ampliação do SAA de Piracema</t>
  </si>
  <si>
    <t>E_134</t>
  </si>
  <si>
    <t>Ampliação do SAA de Rio Acima</t>
  </si>
  <si>
    <t>Estudo de Concepção/ Viabilidade</t>
  </si>
  <si>
    <t>E_164</t>
  </si>
  <si>
    <t>TAC Água - Ação Emergencial: Bacia do rio das Velhas: Melhoria no Tratamento da ETA Bela Fama [1]</t>
  </si>
  <si>
    <t>Rio das Velhas</t>
  </si>
  <si>
    <t>Estudos</t>
  </si>
  <si>
    <t>Vale S.A.</t>
  </si>
  <si>
    <t>E_165</t>
  </si>
  <si>
    <t>TAC Água - Ação Emergencial: Bacia do rio Paraopeba: Nova planta de captação, adutora de água bruta e linha de distribuição</t>
  </si>
  <si>
    <t>Rio Paraopeba e Rio das Velhas</t>
  </si>
  <si>
    <t>Rio Paraopeba</t>
  </si>
  <si>
    <t>Em fase de comissionamento</t>
  </si>
  <si>
    <t>Vale S.A. e COPASA</t>
  </si>
  <si>
    <t>E_166</t>
  </si>
  <si>
    <t>TAC Água - Ação Emergencial: Clientes Essenciais – Obras de poços, reservação complementar e redundância</t>
  </si>
  <si>
    <t>E_144</t>
  </si>
  <si>
    <t>TAC Água - Ação Emergencial: Sistema de Poços em Sabará</t>
  </si>
  <si>
    <t>E_035</t>
  </si>
  <si>
    <t>TAC Seg. Hídrica - Bacia do rio Paraopeba - Ampliação do Sistema Rio Manso [2]</t>
  </si>
  <si>
    <t>E_033</t>
  </si>
  <si>
    <t>TAC Seg. Hídrica - Adutora de Transferência entre os Sistemas Paraopeba e Velhas [3]</t>
  </si>
  <si>
    <t>E_168</t>
  </si>
  <si>
    <t>TAC Seg. Hídrica - Bacia do rio das Velhas -- Barramento e Captação em Ponte de Arame</t>
  </si>
  <si>
    <t>Em andamento</t>
  </si>
  <si>
    <t>E_167</t>
  </si>
  <si>
    <t>TAC Seg. Hídrica - Bacia do rio das Velhas - Captação do ribeirão da prata</t>
  </si>
  <si>
    <t>Ribeirão da Prata</t>
  </si>
  <si>
    <t>E_036</t>
  </si>
  <si>
    <t>TAC Seg. Hídrica - Bacia do rio Paraopeba - Captação do ribeirão Macaúbas - Barramento</t>
  </si>
  <si>
    <t>Ribeirão Macaúbas</t>
  </si>
  <si>
    <t>Atividades 2, 3 e 4: Novos estudo, projetos e obras necessários para o alcance da meta do Marco Legal do Saneamento Básicos nos municípios prioritários.</t>
  </si>
  <si>
    <t>Ver orçamento na planilha Ação 3.3.2. Considerado o valor total orçado para novas obras.</t>
  </si>
  <si>
    <t>Ver orçamento na planilha Ação 3.1.4. Considerado 70% do valor orçado para novos estudos e projetos.</t>
  </si>
  <si>
    <t>Ver orçamento na planilha Ação 3.1.4. Considerado 30% do valor orçado para novos estudos e projetos.</t>
  </si>
  <si>
    <t>Ver orçamento na planilha Ação 3.1.4. Soma do valor das obras e projetos em andamento.</t>
  </si>
  <si>
    <t>Atividade 1: Projetos e obra em andamento.</t>
  </si>
  <si>
    <t>E_026</t>
  </si>
  <si>
    <t>Saneamento integrado da bacia do córrego Bonsucesso</t>
  </si>
  <si>
    <t>Córrego Bonsucesso</t>
  </si>
  <si>
    <t>Em Execução</t>
  </si>
  <si>
    <t>MDR, Prefeitura</t>
  </si>
  <si>
    <t>E_027</t>
  </si>
  <si>
    <t>Saneamento Integrado na Bacia do Córrego do Nado - Sub-bacias Lareiras e Maribindo - Belo Horizonte</t>
  </si>
  <si>
    <t>Córrego do Nado</t>
  </si>
  <si>
    <t>E_043</t>
  </si>
  <si>
    <t>ETE Citrolândia (1ª etapa) e seus sistemas - Betim</t>
  </si>
  <si>
    <t>Licitação</t>
  </si>
  <si>
    <t>E_041</t>
  </si>
  <si>
    <t>Saneamento Integrado e Urbanização no Bairro Alto da Boa Vista - Betim</t>
  </si>
  <si>
    <t>E_049</t>
  </si>
  <si>
    <t>Execução de obras/ serviços complementares de reforma para operacionalização do Sistema de Esgotamento Sanitário de Caeté</t>
  </si>
  <si>
    <t>E_082</t>
  </si>
  <si>
    <t>ETE Aroeiras</t>
  </si>
  <si>
    <t>Córrego Aroeira</t>
  </si>
  <si>
    <t>SAAE</t>
  </si>
  <si>
    <t>E_083</t>
  </si>
  <si>
    <t>ETE Pará dos Vilelas</t>
  </si>
  <si>
    <t>E_084</t>
  </si>
  <si>
    <t>Reforma da ETE Conquista</t>
  </si>
  <si>
    <t>Ribeirão Conquista</t>
  </si>
  <si>
    <t>E_086</t>
  </si>
  <si>
    <t>Implantação do Sistema de Esgotamento Sanitário do Município de Itatiaiuçu</t>
  </si>
  <si>
    <t>Rio Veloso</t>
  </si>
  <si>
    <t>E_108</t>
  </si>
  <si>
    <t>Ampliação do SES - Mateus Leme</t>
  </si>
  <si>
    <t>E_119</t>
  </si>
  <si>
    <t>Execução de redes de esgoto e de drenagem no córrego Acaba Mundo em Nova Lima</t>
  </si>
  <si>
    <t>E_133</t>
  </si>
  <si>
    <t>Ampliação do SES - Ribeirão das Neves</t>
  </si>
  <si>
    <t>E_169</t>
  </si>
  <si>
    <t>Universalização do Saneamento Básico dos municípios impactados pelo rompimento das barragens da Mina do Córrego Feijão, em Brumadinho</t>
  </si>
  <si>
    <t>Projetos</t>
  </si>
  <si>
    <t>SI</t>
  </si>
  <si>
    <t>E_156</t>
  </si>
  <si>
    <t>Ampliação do SES - Sarzedo</t>
  </si>
  <si>
    <t>E_200</t>
  </si>
  <si>
    <t>Ampliação do SES - Sete Lagoas</t>
  </si>
  <si>
    <t>Municípios Prioritários</t>
  </si>
  <si>
    <t>Ver orçamento na planilha Ação 3.3.2. Soma do valor das obras e projetos em andamento.</t>
  </si>
  <si>
    <t>Ver orçamento na planilha Ação 3.3.2. Considerado 30% do valor orçado para novos estudos e projetos.</t>
  </si>
  <si>
    <t>Ver orçamento na planilha Ação 3.3.2. Considerado 70% do valor orçado para novos estudos e projetos.</t>
  </si>
  <si>
    <t>E_010</t>
  </si>
  <si>
    <t>Ampliação da seção - adequação das declividades- parque linear - bacias dos córregos Pampulha- Onça e Cachoerinha</t>
  </si>
  <si>
    <t>Córregos Pampulha, Onça e Cachoeirinha</t>
  </si>
  <si>
    <t>MIDR, Prefeitura Municipal</t>
  </si>
  <si>
    <t>E_011</t>
  </si>
  <si>
    <t>Drenagem urbana sustentável - macrodrenagem no córrego Túnel Camarões</t>
  </si>
  <si>
    <t>Córrego Túnel Camarões</t>
  </si>
  <si>
    <t>E_012</t>
  </si>
  <si>
    <t>Drenagem urbana sustentável nos córregos Jatobá e Olaria</t>
  </si>
  <si>
    <t>Córregos Jatobá e Olaria</t>
  </si>
  <si>
    <t>E_019</t>
  </si>
  <si>
    <t>Implantação de macrodrenagem no córrego Cachoeirinha</t>
  </si>
  <si>
    <t>Córrego Cachoeirinha</t>
  </si>
  <si>
    <t>E_020</t>
  </si>
  <si>
    <t>Macrodrenagem no bairro das Indústrias</t>
  </si>
  <si>
    <t>E_023</t>
  </si>
  <si>
    <t>Otimização do sistema de macrodrenagem dos córregos Vilarinho, Nado e Ribeirão Isidoro</t>
  </si>
  <si>
    <t>Córregos Vilarinho, Nado e Ribeirão Isidoro</t>
  </si>
  <si>
    <t>E_299</t>
  </si>
  <si>
    <t>Programa de Redução de Riscos de Inundações e Melhorias Urbanas na Bacia do Ribeirão Isidoro</t>
  </si>
  <si>
    <t>Ribeirão Isidoro</t>
  </si>
  <si>
    <t>(US$ 168,00)</t>
  </si>
  <si>
    <t>E_028</t>
  </si>
  <si>
    <t>Construção de Bacias de Detenção no Córrego Ferrugem</t>
  </si>
  <si>
    <t>Belo Horizonte e Contagem</t>
  </si>
  <si>
    <t>Córrego Ferrugem</t>
  </si>
  <si>
    <t>SEINFRA e Prefeituras Municipais</t>
  </si>
  <si>
    <t>E_030</t>
  </si>
  <si>
    <t>Requalificação urbana do ribeirão Arrudas - 2ª etapa</t>
  </si>
  <si>
    <t>Ribeirão Arrudas</t>
  </si>
  <si>
    <t>E_031</t>
  </si>
  <si>
    <t>Requalificação Urbana e Ambiental e de Controle de Cheias dos Córregos Riacho das Pedras</t>
  </si>
  <si>
    <t>Córrego Riacho das Pedras e Ribeirão Arrudas</t>
  </si>
  <si>
    <t>E_054</t>
  </si>
  <si>
    <t>Implantação da macrodrenagem do Complexo Maracanã</t>
  </si>
  <si>
    <t>Córrego Maracanã / Matadouro</t>
  </si>
  <si>
    <t>E_064</t>
  </si>
  <si>
    <t>Canalização do Córrego Barreirinho - Vilas Primavera e Águia Dourada</t>
  </si>
  <si>
    <t>Córrego Barreirinho - Afluente do Ribeirão Ibirité.</t>
  </si>
  <si>
    <t>E_239</t>
  </si>
  <si>
    <t>Reabilitação e reestruturação do Dique de Contenção do Rio das Velhas na sede do município de Jequitibá</t>
  </si>
  <si>
    <t>E_202</t>
  </si>
  <si>
    <t xml:space="preserve">Implantação e ampliação de sistemas de drenagem urbana sustentável e de manejo de águas pluviais </t>
  </si>
  <si>
    <t>Ver orçamento na planilha Ação 4.2.3. Soma do valor dos projetos e obras em andamento ou previstas.</t>
  </si>
  <si>
    <t>Responsável</t>
  </si>
  <si>
    <t>Agência RMBH e IGAM</t>
  </si>
  <si>
    <t>Redução e controle de processos erosivos</t>
  </si>
  <si>
    <t xml:space="preserve">Tipologia </t>
  </si>
  <si>
    <t>Resumo do Orçamento</t>
  </si>
  <si>
    <t>Gerenciamento e controle de atividades degradantes</t>
  </si>
  <si>
    <t>Formação de Banco de Projetos</t>
  </si>
  <si>
    <t>Criação e estruturação de um grupo gestor do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</si>
</sst>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quot;R$&quot;\ #,##0.00"/>
    <numFmt numFmtId="165" formatCode="0.0%"/>
    <numFmt numFmtId="166" formatCode="&quot;R$&quot;\ #,##0"/>
    <numFmt numFmtId="167" formatCode="_-* #,##0_-;\-* #,##0_-;_-* &quot;-&quot;??_-;_-@_-"/>
  </numFmts>
  <fonts count="39" x14ac:knownFonts="1">
    <font>
      <sz val="11"/>
      <color theme="1"/>
      <name val="Calibri"/>
      <family val="2"/>
      <scheme val="minor"/>
    </font>
    <font>
      <sz val="11"/>
      <name val="Calibri"/>
      <family val="2"/>
      <scheme val="minor"/>
    </font>
    <font>
      <b/>
      <sz val="11"/>
      <color theme="0"/>
      <name val="Calibri"/>
      <family val="2"/>
      <scheme val="minor"/>
    </font>
    <font>
      <sz val="8"/>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b/>
      <sz val="10"/>
      <color rgb="FF162937"/>
      <name val="Arial"/>
      <family val="2"/>
    </font>
    <font>
      <sz val="10"/>
      <color rgb="FF162937"/>
      <name val="Arial"/>
      <family val="2"/>
    </font>
    <font>
      <sz val="8"/>
      <color theme="1"/>
      <name val="Calibri"/>
      <family val="2"/>
      <scheme val="minor"/>
    </font>
    <font>
      <b/>
      <sz val="10"/>
      <color theme="1"/>
      <name val="Arial"/>
      <family val="2"/>
    </font>
    <font>
      <sz val="11"/>
      <color rgb="FF162937"/>
      <name val="Arial"/>
      <family val="2"/>
    </font>
    <font>
      <b/>
      <sz val="11"/>
      <color rgb="FF162937"/>
      <name val="Arial"/>
      <family val="2"/>
    </font>
    <font>
      <sz val="10"/>
      <color theme="1"/>
      <name val="Calibri"/>
      <family val="2"/>
      <scheme val="minor"/>
    </font>
    <font>
      <b/>
      <sz val="9"/>
      <color rgb="FFFFFFFF"/>
      <name val="Arial"/>
      <family val="2"/>
    </font>
    <font>
      <sz val="10"/>
      <name val="Arial"/>
      <family val="2"/>
    </font>
    <font>
      <i/>
      <sz val="11"/>
      <color theme="1"/>
      <name val="Calibri"/>
      <family val="2"/>
      <scheme val="minor"/>
    </font>
    <font>
      <sz val="9"/>
      <color rgb="FF000000"/>
      <name val="Arial"/>
      <family val="2"/>
    </font>
    <font>
      <sz val="11"/>
      <color rgb="FF000000"/>
      <name val="Calibri"/>
      <family val="2"/>
    </font>
    <font>
      <sz val="11"/>
      <color rgb="FF333333"/>
      <name val="Calibri"/>
      <family val="2"/>
      <scheme val="minor"/>
    </font>
    <font>
      <b/>
      <i/>
      <sz val="11"/>
      <color theme="1"/>
      <name val="Calibri"/>
      <family val="2"/>
      <scheme val="minor"/>
    </font>
    <font>
      <b/>
      <sz val="9"/>
      <color rgb="FFFFFFFF"/>
      <name val="Calibri"/>
      <family val="2"/>
      <scheme val="minor"/>
    </font>
    <font>
      <sz val="12"/>
      <color theme="3"/>
      <name val="Arial Narrow"/>
      <family val="2"/>
    </font>
    <font>
      <sz val="9"/>
      <color rgb="FF000000"/>
      <name val="Calibri"/>
      <family val="2"/>
      <scheme val="minor"/>
    </font>
    <font>
      <sz val="9"/>
      <color theme="1"/>
      <name val="Calibri"/>
      <family val="2"/>
      <scheme val="minor"/>
    </font>
    <font>
      <b/>
      <sz val="9"/>
      <color rgb="FFFFFFFF"/>
      <name val="Arial Narrow"/>
      <family val="2"/>
    </font>
    <font>
      <sz val="9"/>
      <color rgb="FF000000"/>
      <name val="Arial Narrow"/>
      <family val="2"/>
    </font>
    <font>
      <b/>
      <sz val="9"/>
      <color rgb="FF000000"/>
      <name val="Arial Narrow"/>
      <family val="2"/>
    </font>
    <font>
      <sz val="9"/>
      <color theme="1"/>
      <name val="Arial Narrow"/>
      <family val="2"/>
    </font>
    <font>
      <b/>
      <sz val="9"/>
      <color theme="1"/>
      <name val="Arial Narrow"/>
      <family val="2"/>
    </font>
    <font>
      <sz val="11"/>
      <color theme="1"/>
      <name val="Arial Narrow"/>
      <family val="2"/>
    </font>
    <font>
      <b/>
      <sz val="11"/>
      <color theme="1"/>
      <name val="Arial Narrow"/>
      <family val="2"/>
    </font>
    <font>
      <b/>
      <sz val="9"/>
      <color rgb="FFFFFFFF"/>
      <name val="Aptos Narrow"/>
      <family val="2"/>
    </font>
    <font>
      <sz val="9"/>
      <color theme="1"/>
      <name val="Aptos Narrow"/>
      <family val="2"/>
    </font>
    <font>
      <b/>
      <sz val="9"/>
      <color theme="1"/>
      <name val="Aptos Narrow"/>
      <family val="2"/>
    </font>
    <font>
      <b/>
      <sz val="8"/>
      <color rgb="FFFFFFFF"/>
      <name val="Arial Narrow"/>
      <family val="2"/>
    </font>
    <font>
      <sz val="8"/>
      <color rgb="FF000000"/>
      <name val="Arial Narrow"/>
      <family val="2"/>
    </font>
    <font>
      <sz val="8"/>
      <color theme="1"/>
      <name val="Arial Narrow"/>
      <family val="2"/>
    </font>
    <font>
      <b/>
      <sz val="10"/>
      <color rgb="FF000000"/>
      <name val="Arial Narrow"/>
      <family val="2"/>
    </font>
  </fonts>
  <fills count="12">
    <fill>
      <patternFill patternType="none"/>
    </fill>
    <fill>
      <patternFill patternType="gray125"/>
    </fill>
    <fill>
      <patternFill patternType="solid">
        <fgColor rgb="FF0070C0"/>
        <bgColor indexed="64"/>
      </patternFill>
    </fill>
    <fill>
      <patternFill patternType="solid">
        <fgColor rgb="FFFFFFCC"/>
        <bgColor indexed="64"/>
      </patternFill>
    </fill>
    <fill>
      <patternFill patternType="solid">
        <fgColor theme="0" tint="-4.9989318521683403E-2"/>
        <bgColor indexed="64"/>
      </patternFill>
    </fill>
    <fill>
      <patternFill patternType="solid">
        <fgColor rgb="FF2E74B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D9D9D9"/>
        <bgColor indexed="64"/>
      </patternFill>
    </fill>
    <fill>
      <patternFill patternType="solid">
        <fgColor theme="0"/>
        <bgColor indexed="64"/>
      </patternFill>
    </fill>
    <fill>
      <patternFill patternType="solid">
        <fgColor rgb="FF2F75B5"/>
        <bgColor indexed="64"/>
      </patternFill>
    </fill>
  </fills>
  <borders count="30">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rgb="FF999999"/>
      </left>
      <right style="medium">
        <color rgb="FF999999"/>
      </right>
      <top style="medium">
        <color rgb="FF999999"/>
      </top>
      <bottom style="medium">
        <color rgb="FF999999"/>
      </bottom>
      <diagonal/>
    </border>
    <border>
      <left style="medium">
        <color rgb="FF999999"/>
      </left>
      <right/>
      <top style="medium">
        <color rgb="FF999999"/>
      </top>
      <bottom style="medium">
        <color rgb="FF999999"/>
      </bottom>
      <diagonal/>
    </border>
    <border>
      <left/>
      <right/>
      <top style="medium">
        <color rgb="FF999999"/>
      </top>
      <bottom style="medium">
        <color rgb="FF999999"/>
      </bottom>
      <diagonal/>
    </border>
    <border>
      <left/>
      <right style="medium">
        <color rgb="FF999999"/>
      </right>
      <top style="medium">
        <color rgb="FF999999"/>
      </top>
      <bottom style="medium">
        <color rgb="FF999999"/>
      </bottom>
      <diagonal/>
    </border>
    <border>
      <left style="medium">
        <color rgb="FF999999"/>
      </left>
      <right style="medium">
        <color rgb="FF999999"/>
      </right>
      <top style="medium">
        <color rgb="FF999999"/>
      </top>
      <bottom/>
      <diagonal/>
    </border>
    <border>
      <left/>
      <right style="thin">
        <color indexed="64"/>
      </right>
      <top style="medium">
        <color rgb="FF999999"/>
      </top>
      <bottom style="medium">
        <color rgb="FF999999"/>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rgb="FF999999"/>
      </left>
      <right/>
      <top/>
      <bottom/>
      <diagonal/>
    </border>
    <border>
      <left style="thin">
        <color indexed="64"/>
      </left>
      <right style="thin">
        <color indexed="64"/>
      </right>
      <top/>
      <bottom style="thin">
        <color indexed="64"/>
      </bottom>
      <diagonal/>
    </border>
    <border>
      <left style="medium">
        <color rgb="FF999999"/>
      </left>
      <right style="medium">
        <color rgb="FF999999"/>
      </right>
      <top/>
      <bottom style="medium">
        <color rgb="FF999999"/>
      </bottom>
      <diagonal/>
    </border>
    <border>
      <left style="medium">
        <color rgb="FF999999"/>
      </left>
      <right style="medium">
        <color rgb="FF999999"/>
      </right>
      <top/>
      <bottom/>
      <diagonal/>
    </border>
    <border>
      <left style="medium">
        <color rgb="FF999999"/>
      </left>
      <right/>
      <top/>
      <bottom style="medium">
        <color rgb="FF999999"/>
      </bottom>
      <diagonal/>
    </border>
    <border>
      <left/>
      <right/>
      <top/>
      <bottom style="medium">
        <color rgb="FF999999"/>
      </bottom>
      <diagonal/>
    </border>
    <border>
      <left style="medium">
        <color rgb="FF999999"/>
      </left>
      <right/>
      <top style="medium">
        <color rgb="FF999999"/>
      </top>
      <bottom/>
      <diagonal/>
    </border>
    <border>
      <left/>
      <right style="medium">
        <color rgb="FF999999"/>
      </right>
      <top style="medium">
        <color rgb="FF999999"/>
      </top>
      <bottom/>
      <diagonal/>
    </border>
    <border>
      <left style="thin">
        <color indexed="64"/>
      </left>
      <right/>
      <top style="thin">
        <color indexed="64"/>
      </top>
      <bottom style="thin">
        <color indexed="64"/>
      </bottom>
      <diagonal/>
    </border>
    <border>
      <left/>
      <right style="medium">
        <color rgb="FF999999"/>
      </right>
      <top/>
      <bottom style="medium">
        <color rgb="FF999999"/>
      </bottom>
      <diagonal/>
    </border>
    <border>
      <left style="thin">
        <color theme="1"/>
      </left>
      <right style="thin">
        <color theme="1"/>
      </right>
      <top style="thin">
        <color theme="1"/>
      </top>
      <bottom style="thin">
        <color theme="1"/>
      </bottom>
      <diagonal/>
    </border>
    <border>
      <left/>
      <right style="medium">
        <color rgb="FFA6A6A6"/>
      </right>
      <top/>
      <bottom style="medium">
        <color rgb="FFA6A6A6"/>
      </bottom>
      <diagonal/>
    </border>
    <border>
      <left/>
      <right style="thin">
        <color indexed="64"/>
      </right>
      <top style="thin">
        <color indexed="64"/>
      </top>
      <bottom style="thin">
        <color indexed="64"/>
      </bottom>
      <diagonal/>
    </border>
    <border>
      <left style="medium">
        <color rgb="FFA6A6A6"/>
      </left>
      <right style="medium">
        <color rgb="FFA6A6A6"/>
      </right>
      <top style="medium">
        <color rgb="FFA6A6A6"/>
      </top>
      <bottom style="medium">
        <color rgb="FFA6A6A6"/>
      </bottom>
      <diagonal/>
    </border>
    <border>
      <left/>
      <right style="medium">
        <color rgb="FFA6A6A6"/>
      </right>
      <top style="medium">
        <color rgb="FFA6A6A6"/>
      </top>
      <bottom style="medium">
        <color rgb="FFA6A6A6"/>
      </bottom>
      <diagonal/>
    </border>
    <border>
      <left style="medium">
        <color rgb="FFA6A6A6"/>
      </left>
      <right style="medium">
        <color rgb="FFA6A6A6"/>
      </right>
      <top/>
      <bottom style="medium">
        <color rgb="FFA6A6A6"/>
      </bottom>
      <diagonal/>
    </border>
    <border>
      <left style="medium">
        <color rgb="FFA6A6A6"/>
      </left>
      <right style="medium">
        <color rgb="FFA6A6A6"/>
      </right>
      <top style="medium">
        <color rgb="FFA6A6A6"/>
      </top>
      <bottom/>
      <diagonal/>
    </border>
    <border>
      <left style="medium">
        <color rgb="FFA6A6A6"/>
      </left>
      <right/>
      <top style="medium">
        <color rgb="FFA6A6A6"/>
      </top>
      <bottom style="medium">
        <color rgb="FFA6A6A6"/>
      </bottom>
      <diagonal/>
    </border>
    <border>
      <left style="medium">
        <color rgb="FFA6A6A6"/>
      </left>
      <right/>
      <top/>
      <bottom/>
      <diagonal/>
    </border>
    <border>
      <left/>
      <right style="medium">
        <color rgb="FFA6A6A6"/>
      </right>
      <top/>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15" fillId="0" borderId="0" applyNumberFormat="0" applyFill="0" applyBorder="0" applyAlignment="0" applyProtection="0"/>
  </cellStyleXfs>
  <cellXfs count="245">
    <xf numFmtId="0" fontId="0" fillId="0" borderId="0" xfId="0"/>
    <xf numFmtId="0" fontId="0" fillId="0" borderId="0" xfId="0"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0" fillId="3" borderId="0" xfId="0" applyFill="1"/>
    <xf numFmtId="0" fontId="6" fillId="3" borderId="0" xfId="0" applyFont="1" applyFill="1"/>
    <xf numFmtId="0" fontId="5" fillId="3" borderId="0" xfId="0" applyFont="1" applyFill="1"/>
    <xf numFmtId="0" fontId="7"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7" fillId="3" borderId="2" xfId="0" applyFont="1" applyFill="1" applyBorder="1" applyAlignment="1">
      <alignment vertical="center" wrapText="1"/>
    </xf>
    <xf numFmtId="0" fontId="8" fillId="3" borderId="2" xfId="0" applyFont="1" applyFill="1" applyBorder="1" applyAlignment="1">
      <alignment horizontal="left" vertical="center" wrapText="1"/>
    </xf>
    <xf numFmtId="0" fontId="0" fillId="3" borderId="2" xfId="0" applyFill="1" applyBorder="1" applyAlignment="1">
      <alignment horizontal="center"/>
    </xf>
    <xf numFmtId="0" fontId="8" fillId="3" borderId="2" xfId="0" applyFont="1" applyFill="1" applyBorder="1" applyAlignment="1">
      <alignment vertical="center" wrapText="1"/>
    </xf>
    <xf numFmtId="0" fontId="0" fillId="3" borderId="2" xfId="0" applyFill="1" applyBorder="1"/>
    <xf numFmtId="2" fontId="8" fillId="3" borderId="2" xfId="0" applyNumberFormat="1" applyFont="1" applyFill="1" applyBorder="1" applyAlignment="1">
      <alignment horizontal="center" vertical="center" wrapText="1"/>
    </xf>
    <xf numFmtId="0" fontId="8" fillId="0" borderId="2" xfId="0" applyFont="1" applyBorder="1" applyAlignment="1" applyProtection="1">
      <alignment horizontal="right" vertical="center" wrapText="1"/>
      <protection locked="0"/>
    </xf>
    <xf numFmtId="164" fontId="8" fillId="4" borderId="2" xfId="0" applyNumberFormat="1" applyFont="1" applyFill="1" applyBorder="1" applyAlignment="1">
      <alignment horizontal="right" vertical="center" wrapText="1"/>
    </xf>
    <xf numFmtId="2" fontId="8" fillId="0" borderId="2" xfId="0" applyNumberFormat="1" applyFont="1" applyBorder="1" applyAlignment="1" applyProtection="1">
      <alignment horizontal="right" vertical="center" wrapText="1"/>
      <protection locked="0"/>
    </xf>
    <xf numFmtId="0" fontId="0" fillId="3" borderId="0" xfId="0" applyFill="1" applyAlignment="1">
      <alignment horizontal="center"/>
    </xf>
    <xf numFmtId="0" fontId="7" fillId="3" borderId="3" xfId="0" applyFont="1" applyFill="1" applyBorder="1" applyAlignment="1">
      <alignment horizontal="left" vertical="center" wrapText="1"/>
    </xf>
    <xf numFmtId="10" fontId="8" fillId="3" borderId="2" xfId="0" applyNumberFormat="1" applyFont="1" applyFill="1" applyBorder="1" applyAlignment="1">
      <alignment horizontal="center" vertical="center" wrapText="1"/>
    </xf>
    <xf numFmtId="0" fontId="8" fillId="0" borderId="2" xfId="0" applyFont="1" applyBorder="1" applyAlignment="1" applyProtection="1">
      <alignment horizontal="left" vertical="center" wrapText="1"/>
      <protection locked="0"/>
    </xf>
    <xf numFmtId="0" fontId="9" fillId="3" borderId="0" xfId="0" applyFont="1" applyFill="1" applyAlignment="1">
      <alignment horizontal="center"/>
    </xf>
    <xf numFmtId="10" fontId="0" fillId="3" borderId="0" xfId="0" applyNumberFormat="1" applyFill="1" applyAlignment="1">
      <alignment horizontal="center"/>
    </xf>
    <xf numFmtId="0" fontId="8" fillId="0" borderId="2" xfId="0" applyFont="1" applyBorder="1" applyAlignment="1" applyProtection="1">
      <alignment vertical="center" wrapText="1"/>
      <protection locked="0"/>
    </xf>
    <xf numFmtId="0" fontId="8" fillId="3" borderId="6" xfId="0" applyFont="1" applyFill="1" applyBorder="1" applyAlignment="1">
      <alignment horizontal="left" vertical="center" wrapText="1"/>
    </xf>
    <xf numFmtId="0" fontId="8" fillId="3" borderId="6" xfId="0" applyFont="1" applyFill="1" applyBorder="1" applyAlignment="1">
      <alignment horizontal="center" vertical="center" wrapText="1"/>
    </xf>
    <xf numFmtId="164" fontId="0" fillId="4" borderId="8" xfId="0" applyNumberFormat="1" applyFill="1" applyBorder="1"/>
    <xf numFmtId="0" fontId="8" fillId="3" borderId="8" xfId="0" applyFont="1" applyFill="1" applyBorder="1" applyAlignment="1">
      <alignment horizontal="left" vertical="center" wrapText="1"/>
    </xf>
    <xf numFmtId="0" fontId="7" fillId="3" borderId="8" xfId="0" applyFont="1" applyFill="1" applyBorder="1" applyAlignment="1">
      <alignment horizontal="right" vertical="center" wrapText="1"/>
    </xf>
    <xf numFmtId="2" fontId="0" fillId="3" borderId="8" xfId="0" applyNumberFormat="1" applyFill="1" applyBorder="1" applyAlignment="1">
      <alignment horizontal="center"/>
    </xf>
    <xf numFmtId="0" fontId="0" fillId="3" borderId="8" xfId="0" applyFill="1" applyBorder="1"/>
    <xf numFmtId="0" fontId="0" fillId="0" borderId="8" xfId="0" applyBorder="1" applyAlignment="1" applyProtection="1">
      <alignment horizontal="center" vertical="center"/>
      <protection locked="0"/>
    </xf>
    <xf numFmtId="4" fontId="0" fillId="0" borderId="8" xfId="0" applyNumberFormat="1" applyBorder="1" applyAlignment="1">
      <alignment horizontal="center" vertical="center"/>
    </xf>
    <xf numFmtId="0" fontId="5" fillId="3" borderId="8" xfId="0" applyFont="1" applyFill="1" applyBorder="1"/>
    <xf numFmtId="0" fontId="0" fillId="3" borderId="8" xfId="0" applyFill="1" applyBorder="1" applyAlignment="1">
      <alignment horizontal="center" vertical="center"/>
    </xf>
    <xf numFmtId="4" fontId="0" fillId="3" borderId="8" xfId="0" applyNumberFormat="1" applyFill="1" applyBorder="1" applyAlignment="1">
      <alignment horizontal="center" vertical="center"/>
    </xf>
    <xf numFmtId="4" fontId="5" fillId="3" borderId="8" xfId="0" applyNumberFormat="1" applyFont="1" applyFill="1" applyBorder="1" applyAlignment="1">
      <alignment horizontal="center" vertical="center"/>
    </xf>
    <xf numFmtId="4" fontId="0" fillId="4" borderId="8" xfId="0" applyNumberFormat="1" applyFill="1" applyBorder="1" applyAlignment="1">
      <alignment horizontal="center" vertical="center"/>
    </xf>
    <xf numFmtId="0" fontId="0" fillId="3" borderId="9" xfId="0" applyFill="1" applyBorder="1" applyAlignment="1">
      <alignment horizontal="left" vertical="top" wrapText="1"/>
    </xf>
    <xf numFmtId="0" fontId="8" fillId="0" borderId="8" xfId="0" applyFont="1" applyBorder="1" applyAlignment="1" applyProtection="1">
      <alignment vertical="center" wrapText="1"/>
      <protection locked="0"/>
    </xf>
    <xf numFmtId="0" fontId="8" fillId="0" borderId="8" xfId="0" applyFont="1" applyBorder="1" applyAlignment="1" applyProtection="1">
      <alignment horizontal="left" vertical="center" wrapText="1"/>
      <protection locked="0"/>
    </xf>
    <xf numFmtId="0" fontId="0" fillId="3" borderId="0" xfId="0" applyFill="1" applyAlignment="1">
      <alignment horizontal="center" vertical="top" wrapText="1"/>
    </xf>
    <xf numFmtId="0" fontId="7" fillId="3" borderId="10" xfId="0" applyFont="1" applyFill="1" applyBorder="1" applyAlignment="1">
      <alignment horizontal="left" vertical="center" wrapText="1"/>
    </xf>
    <xf numFmtId="0" fontId="8" fillId="3" borderId="12" xfId="0" applyFont="1" applyFill="1" applyBorder="1" applyAlignment="1">
      <alignment horizontal="center" vertical="center" wrapText="1"/>
    </xf>
    <xf numFmtId="0" fontId="0" fillId="0" borderId="8" xfId="0" applyBorder="1" applyAlignment="1">
      <alignment horizontal="center" vertical="center"/>
    </xf>
    <xf numFmtId="0" fontId="7" fillId="3" borderId="13" xfId="0" applyFont="1" applyFill="1" applyBorder="1" applyAlignment="1">
      <alignment horizontal="left" vertical="center" wrapText="1"/>
    </xf>
    <xf numFmtId="164" fontId="8" fillId="4" borderId="11" xfId="0" applyNumberFormat="1" applyFont="1" applyFill="1" applyBorder="1" applyAlignment="1">
      <alignment vertical="center" wrapText="1"/>
    </xf>
    <xf numFmtId="0" fontId="7" fillId="3" borderId="6" xfId="0" applyFont="1" applyFill="1" applyBorder="1" applyAlignment="1">
      <alignment horizontal="right" vertical="center" wrapText="1"/>
    </xf>
    <xf numFmtId="164" fontId="8" fillId="4" borderId="13" xfId="0" applyNumberFormat="1" applyFont="1" applyFill="1" applyBorder="1" applyAlignment="1">
      <alignment vertical="center" wrapText="1"/>
    </xf>
    <xf numFmtId="0" fontId="7" fillId="3" borderId="18" xfId="0" applyFont="1" applyFill="1" applyBorder="1" applyAlignment="1">
      <alignment horizontal="left" vertical="center" wrapText="1"/>
    </xf>
    <xf numFmtId="0" fontId="7" fillId="3" borderId="12" xfId="0" applyFont="1" applyFill="1" applyBorder="1" applyAlignment="1">
      <alignment horizontal="right" vertical="center" wrapText="1"/>
    </xf>
    <xf numFmtId="164" fontId="8" fillId="4" borderId="12" xfId="0" applyNumberFormat="1" applyFont="1" applyFill="1" applyBorder="1" applyAlignment="1">
      <alignment vertical="center" wrapText="1"/>
    </xf>
    <xf numFmtId="0" fontId="7" fillId="3" borderId="2" xfId="0" applyFont="1" applyFill="1" applyBorder="1" applyAlignment="1">
      <alignment horizontal="right" vertical="center" wrapText="1"/>
    </xf>
    <xf numFmtId="164" fontId="8" fillId="4" borderId="6" xfId="0" applyNumberFormat="1" applyFont="1" applyFill="1" applyBorder="1" applyAlignment="1">
      <alignment vertical="center" wrapText="1"/>
    </xf>
    <xf numFmtId="8" fontId="8" fillId="3" borderId="3" xfId="0" applyNumberFormat="1" applyFont="1" applyFill="1" applyBorder="1" applyAlignment="1">
      <alignment horizontal="left" vertical="center" wrapText="1"/>
    </xf>
    <xf numFmtId="0" fontId="8" fillId="3" borderId="0" xfId="0" applyFont="1" applyFill="1" applyAlignment="1">
      <alignment vertical="center" wrapText="1"/>
    </xf>
    <xf numFmtId="0" fontId="10" fillId="3" borderId="0" xfId="0" applyFont="1" applyFill="1" applyAlignment="1">
      <alignment horizontal="left" vertical="center"/>
    </xf>
    <xf numFmtId="0" fontId="8" fillId="3" borderId="0" xfId="0" applyFont="1" applyFill="1" applyAlignment="1">
      <alignment horizontal="left" vertical="center" wrapText="1"/>
    </xf>
    <xf numFmtId="0" fontId="5" fillId="3" borderId="20" xfId="0" applyFont="1" applyFill="1" applyBorder="1"/>
    <xf numFmtId="0" fontId="11" fillId="3" borderId="20" xfId="0" applyFont="1" applyFill="1" applyBorder="1" applyAlignment="1">
      <alignment horizontal="left" vertical="center"/>
    </xf>
    <xf numFmtId="0" fontId="0" fillId="3" borderId="20" xfId="0" applyFill="1" applyBorder="1"/>
    <xf numFmtId="0" fontId="7" fillId="3" borderId="20" xfId="0" applyFont="1" applyFill="1" applyBorder="1" applyAlignment="1">
      <alignment horizontal="left" vertical="center" wrapText="1"/>
    </xf>
    <xf numFmtId="0" fontId="12" fillId="3" borderId="20" xfId="0" applyFont="1" applyFill="1" applyBorder="1" applyAlignment="1">
      <alignment horizontal="center" vertical="center"/>
    </xf>
    <xf numFmtId="0" fontId="7" fillId="3" borderId="20" xfId="0" applyFont="1" applyFill="1" applyBorder="1" applyAlignment="1">
      <alignment horizontal="center" vertical="center" wrapText="1"/>
    </xf>
    <xf numFmtId="0" fontId="8" fillId="3" borderId="20" xfId="0" applyFont="1" applyFill="1" applyBorder="1" applyAlignment="1">
      <alignment horizontal="left" vertical="center" wrapText="1"/>
    </xf>
    <xf numFmtId="43" fontId="8" fillId="3" borderId="20" xfId="1" applyFont="1" applyFill="1" applyBorder="1" applyAlignment="1">
      <alignment horizontal="center" vertical="center" wrapText="1"/>
    </xf>
    <xf numFmtId="0" fontId="8" fillId="3" borderId="0" xfId="0" applyFont="1" applyFill="1" applyAlignment="1">
      <alignment horizontal="left" vertical="center"/>
    </xf>
    <xf numFmtId="0" fontId="13" fillId="3" borderId="0" xfId="0" applyFont="1" applyFill="1"/>
    <xf numFmtId="0" fontId="8" fillId="0" borderId="12" xfId="0" applyFont="1" applyBorder="1" applyAlignment="1" applyProtection="1">
      <alignment horizontal="right" vertical="center" wrapText="1"/>
      <protection locked="0"/>
    </xf>
    <xf numFmtId="4" fontId="0" fillId="0" borderId="8" xfId="0" applyNumberFormat="1" applyBorder="1" applyAlignment="1">
      <alignment horizontal="right" vertical="center"/>
    </xf>
    <xf numFmtId="0" fontId="8" fillId="0" borderId="6" xfId="0" applyFont="1" applyBorder="1" applyAlignment="1" applyProtection="1">
      <alignment horizontal="right" vertical="center" wrapText="1"/>
      <protection locked="0"/>
    </xf>
    <xf numFmtId="0" fontId="8" fillId="0" borderId="8" xfId="0" applyFont="1" applyBorder="1" applyAlignment="1" applyProtection="1">
      <alignment horizontal="right" vertical="center" wrapText="1"/>
      <protection locked="0"/>
    </xf>
    <xf numFmtId="0" fontId="8" fillId="0" borderId="12" xfId="0" applyFont="1" applyBorder="1" applyAlignment="1" applyProtection="1">
      <alignment horizontal="left" vertical="center" wrapText="1"/>
      <protection locked="0"/>
    </xf>
    <xf numFmtId="0" fontId="8" fillId="0" borderId="6" xfId="0" applyFont="1" applyBorder="1" applyAlignment="1" applyProtection="1">
      <alignment vertical="center" wrapText="1"/>
      <protection locked="0"/>
    </xf>
    <xf numFmtId="0" fontId="8" fillId="0" borderId="6" xfId="0" applyFont="1" applyBorder="1" applyAlignment="1" applyProtection="1">
      <alignment horizontal="left" vertical="center" wrapText="1"/>
      <protection locked="0"/>
    </xf>
    <xf numFmtId="3" fontId="0" fillId="0" borderId="0" xfId="0" applyNumberFormat="1"/>
    <xf numFmtId="0" fontId="0" fillId="6" borderId="8" xfId="0" applyFill="1" applyBorder="1"/>
    <xf numFmtId="0" fontId="0" fillId="0" borderId="8" xfId="0" applyBorder="1"/>
    <xf numFmtId="44" fontId="0" fillId="0" borderId="8" xfId="2" applyFont="1" applyBorder="1"/>
    <xf numFmtId="14" fontId="0" fillId="0" borderId="8" xfId="0" applyNumberFormat="1" applyBorder="1"/>
    <xf numFmtId="0" fontId="0" fillId="0" borderId="8" xfId="0" applyBorder="1" applyAlignment="1">
      <alignment horizontal="center"/>
    </xf>
    <xf numFmtId="0" fontId="0" fillId="6" borderId="8" xfId="0" applyFill="1" applyBorder="1" applyAlignment="1">
      <alignment horizontal="center"/>
    </xf>
    <xf numFmtId="166" fontId="0" fillId="0" borderId="8" xfId="0" applyNumberFormat="1" applyBorder="1" applyAlignment="1">
      <alignment horizontal="center"/>
    </xf>
    <xf numFmtId="166" fontId="0" fillId="7" borderId="8" xfId="0" applyNumberFormat="1" applyFill="1" applyBorder="1" applyAlignment="1">
      <alignment horizontal="center"/>
    </xf>
    <xf numFmtId="166" fontId="0" fillId="0" borderId="8" xfId="0" applyNumberFormat="1" applyBorder="1"/>
    <xf numFmtId="0" fontId="0" fillId="0" borderId="0" xfId="0" applyAlignment="1">
      <alignment vertical="center" wrapText="1"/>
    </xf>
    <xf numFmtId="4" fontId="0" fillId="0" borderId="1" xfId="2" applyNumberFormat="1" applyFont="1" applyBorder="1" applyAlignment="1">
      <alignment horizontal="right" vertical="center" wrapText="1"/>
    </xf>
    <xf numFmtId="4" fontId="0" fillId="0" borderId="1" xfId="2" applyNumberFormat="1" applyFont="1" applyFill="1" applyBorder="1" applyAlignment="1">
      <alignment horizontal="right" vertical="center" wrapText="1"/>
    </xf>
    <xf numFmtId="4" fontId="0" fillId="0" borderId="0" xfId="2" applyNumberFormat="1" applyFont="1" applyAlignment="1">
      <alignment horizontal="right" vertical="center" wrapText="1"/>
    </xf>
    <xf numFmtId="0" fontId="0" fillId="0" borderId="8" xfId="0" applyBorder="1" applyAlignment="1" applyProtection="1">
      <alignment horizontal="right" vertical="center"/>
      <protection locked="0"/>
    </xf>
    <xf numFmtId="0" fontId="2" fillId="2" borderId="1" xfId="0" applyFont="1" applyFill="1" applyBorder="1" applyAlignment="1">
      <alignment horizontal="center" wrapText="1"/>
    </xf>
    <xf numFmtId="0" fontId="1"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5" fillId="0" borderId="0" xfId="0" applyFont="1"/>
    <xf numFmtId="4" fontId="0" fillId="0" borderId="8" xfId="0" applyNumberFormat="1" applyBorder="1"/>
    <xf numFmtId="4" fontId="0" fillId="0" borderId="8" xfId="0" applyNumberFormat="1" applyBorder="1" applyAlignment="1">
      <alignment horizontal="center"/>
    </xf>
    <xf numFmtId="9" fontId="0" fillId="0" borderId="8" xfId="0" applyNumberFormat="1" applyBorder="1" applyAlignment="1">
      <alignment horizontal="center"/>
    </xf>
    <xf numFmtId="0" fontId="5" fillId="8" borderId="8" xfId="0" applyFont="1" applyFill="1" applyBorder="1" applyAlignment="1">
      <alignment horizontal="center"/>
    </xf>
    <xf numFmtId="0" fontId="0" fillId="8" borderId="8" xfId="0" applyFill="1" applyBorder="1"/>
    <xf numFmtId="2" fontId="5" fillId="8" borderId="8" xfId="0" applyNumberFormat="1" applyFont="1" applyFill="1" applyBorder="1" applyAlignment="1">
      <alignment horizontal="center"/>
    </xf>
    <xf numFmtId="9" fontId="5" fillId="8" borderId="8" xfId="0" applyNumberFormat="1" applyFont="1" applyFill="1" applyBorder="1" applyAlignment="1">
      <alignment horizontal="center"/>
    </xf>
    <xf numFmtId="2" fontId="6" fillId="8" borderId="8" xfId="0" applyNumberFormat="1" applyFont="1" applyFill="1" applyBorder="1" applyAlignment="1">
      <alignment horizontal="center"/>
    </xf>
    <xf numFmtId="0" fontId="16" fillId="0" borderId="0" xfId="0" applyFont="1"/>
    <xf numFmtId="4" fontId="0" fillId="0" borderId="0" xfId="0" applyNumberFormat="1"/>
    <xf numFmtId="44" fontId="0" fillId="0" borderId="0" xfId="2" applyFont="1"/>
    <xf numFmtId="44" fontId="0" fillId="0" borderId="0" xfId="2" applyFont="1" applyFill="1"/>
    <xf numFmtId="44" fontId="5" fillId="8" borderId="8" xfId="2" applyFont="1" applyFill="1" applyBorder="1"/>
    <xf numFmtId="0" fontId="2" fillId="2" borderId="8" xfId="0" applyFont="1" applyFill="1" applyBorder="1" applyAlignment="1">
      <alignment horizontal="center"/>
    </xf>
    <xf numFmtId="0" fontId="2" fillId="2" borderId="8" xfId="0" applyFont="1" applyFill="1" applyBorder="1"/>
    <xf numFmtId="0" fontId="2" fillId="2" borderId="1" xfId="0" applyFont="1" applyFill="1" applyBorder="1" applyAlignment="1">
      <alignment horizontal="center"/>
    </xf>
    <xf numFmtId="0" fontId="2" fillId="2" borderId="1" xfId="2" applyNumberFormat="1" applyFont="1" applyFill="1" applyBorder="1" applyAlignment="1">
      <alignment horizontal="center" wrapText="1"/>
    </xf>
    <xf numFmtId="0" fontId="0" fillId="0" borderId="1" xfId="0" applyBorder="1"/>
    <xf numFmtId="44" fontId="0" fillId="0" borderId="1" xfId="2" applyFont="1" applyBorder="1"/>
    <xf numFmtId="44" fontId="0" fillId="0" borderId="1" xfId="2" applyFont="1" applyFill="1" applyBorder="1"/>
    <xf numFmtId="0" fontId="2" fillId="5" borderId="1" xfId="0" applyFont="1" applyFill="1" applyBorder="1" applyAlignment="1">
      <alignment horizontal="center" vertical="center" wrapText="1"/>
    </xf>
    <xf numFmtId="4" fontId="2" fillId="5" borderId="1" xfId="2" applyNumberFormat="1" applyFont="1" applyFill="1" applyBorder="1" applyAlignment="1">
      <alignment horizontal="center" vertical="center" wrapText="1"/>
    </xf>
    <xf numFmtId="0" fontId="14" fillId="5" borderId="1" xfId="0" applyFont="1" applyFill="1" applyBorder="1" applyAlignment="1">
      <alignment horizontal="center" vertical="center" textRotation="90" wrapText="1"/>
    </xf>
    <xf numFmtId="0" fontId="17" fillId="9"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left" vertical="center"/>
    </xf>
    <xf numFmtId="0" fontId="18" fillId="9" borderId="1" xfId="0" applyFont="1" applyFill="1" applyBorder="1" applyAlignment="1">
      <alignment horizontal="left" vertical="center"/>
    </xf>
    <xf numFmtId="0" fontId="17" fillId="8" borderId="1" xfId="0" applyFont="1" applyFill="1" applyBorder="1" applyAlignment="1">
      <alignment horizontal="center" vertical="center" wrapText="1"/>
    </xf>
    <xf numFmtId="0" fontId="18" fillId="8" borderId="1" xfId="0" applyFont="1" applyFill="1" applyBorder="1" applyAlignment="1">
      <alignment horizontal="left" vertical="center"/>
    </xf>
    <xf numFmtId="3" fontId="19" fillId="0" borderId="8" xfId="0" applyNumberFormat="1" applyFont="1" applyBorder="1" applyAlignment="1">
      <alignment horizontal="right" vertical="center"/>
    </xf>
    <xf numFmtId="3" fontId="5" fillId="0" borderId="8" xfId="0" applyNumberFormat="1" applyFont="1" applyBorder="1"/>
    <xf numFmtId="167" fontId="0" fillId="0" borderId="0" xfId="1" applyNumberFormat="1" applyFont="1"/>
    <xf numFmtId="9" fontId="16" fillId="0" borderId="0" xfId="0" applyNumberFormat="1" applyFont="1"/>
    <xf numFmtId="9" fontId="0" fillId="0" borderId="0" xfId="0" applyNumberFormat="1"/>
    <xf numFmtId="0" fontId="6" fillId="0" borderId="0" xfId="0" applyFont="1"/>
    <xf numFmtId="3" fontId="5" fillId="0" borderId="0" xfId="0" applyNumberFormat="1" applyFont="1"/>
    <xf numFmtId="0" fontId="2" fillId="5" borderId="8" xfId="0" applyFont="1" applyFill="1" applyBorder="1"/>
    <xf numFmtId="0" fontId="2" fillId="5" borderId="8" xfId="0" applyFont="1" applyFill="1" applyBorder="1" applyAlignment="1">
      <alignment horizontal="center"/>
    </xf>
    <xf numFmtId="44" fontId="5" fillId="0" borderId="8" xfId="2" applyFont="1" applyBorder="1" applyAlignment="1">
      <alignment horizontal="center"/>
    </xf>
    <xf numFmtId="44" fontId="20" fillId="0" borderId="0" xfId="2" applyFont="1"/>
    <xf numFmtId="44" fontId="22" fillId="10" borderId="0" xfId="0" applyNumberFormat="1" applyFont="1" applyFill="1" applyAlignment="1">
      <alignment vertical="center" wrapText="1"/>
    </xf>
    <xf numFmtId="0" fontId="23" fillId="0" borderId="1" xfId="0" applyFont="1" applyBorder="1" applyAlignment="1">
      <alignment horizontal="left" vertical="center"/>
    </xf>
    <xf numFmtId="3" fontId="23" fillId="0" borderId="1" xfId="0" applyNumberFormat="1" applyFont="1" applyBorder="1" applyAlignment="1">
      <alignment horizontal="right" vertical="center" wrapText="1"/>
    </xf>
    <xf numFmtId="44" fontId="23" fillId="0" borderId="1" xfId="0" applyNumberFormat="1" applyFont="1" applyBorder="1" applyAlignment="1">
      <alignment horizontal="right" vertical="center" wrapText="1"/>
    </xf>
    <xf numFmtId="0" fontId="24" fillId="0" borderId="1" xfId="0" applyFont="1" applyBorder="1"/>
    <xf numFmtId="44" fontId="0" fillId="0" borderId="0" xfId="0" applyNumberFormat="1"/>
    <xf numFmtId="3" fontId="23" fillId="0" borderId="0" xfId="0" applyNumberFormat="1" applyFont="1" applyAlignment="1">
      <alignment horizontal="right" vertical="center"/>
    </xf>
    <xf numFmtId="3" fontId="24" fillId="0" borderId="0" xfId="0" applyNumberFormat="1" applyFont="1"/>
    <xf numFmtId="0" fontId="0" fillId="0" borderId="0" xfId="0" pivotButton="1"/>
    <xf numFmtId="0" fontId="0" fillId="0" borderId="0" xfId="0" applyAlignment="1">
      <alignment horizontal="left"/>
    </xf>
    <xf numFmtId="165" fontId="0" fillId="0" borderId="0" xfId="3" applyNumberFormat="1" applyFont="1"/>
    <xf numFmtId="44" fontId="23" fillId="0" borderId="1" xfId="2" applyFont="1" applyBorder="1" applyAlignment="1">
      <alignment horizontal="right" vertical="center" wrapText="1"/>
    </xf>
    <xf numFmtId="0" fontId="0" fillId="0" borderId="9" xfId="0" applyBorder="1"/>
    <xf numFmtId="2" fontId="21" fillId="5" borderId="1" xfId="0" applyNumberFormat="1" applyFont="1" applyFill="1" applyBorder="1" applyAlignment="1">
      <alignment horizontal="center" vertical="center" wrapText="1"/>
    </xf>
    <xf numFmtId="2" fontId="21" fillId="5" borderId="1" xfId="0" applyNumberFormat="1" applyFont="1" applyFill="1" applyBorder="1" applyAlignment="1">
      <alignment horizontal="center" vertical="center"/>
    </xf>
    <xf numFmtId="2" fontId="23" fillId="0" borderId="1" xfId="0" applyNumberFormat="1" applyFont="1" applyBorder="1" applyAlignment="1">
      <alignment vertical="center"/>
    </xf>
    <xf numFmtId="2" fontId="24" fillId="0" borderId="1" xfId="0" applyNumberFormat="1" applyFont="1" applyBorder="1"/>
    <xf numFmtId="0" fontId="0" fillId="6" borderId="8" xfId="0" applyFill="1" applyBorder="1" applyAlignment="1">
      <alignment horizontal="left"/>
    </xf>
    <xf numFmtId="0" fontId="25" fillId="11" borderId="21" xfId="0" applyFont="1" applyFill="1" applyBorder="1" applyAlignment="1">
      <alignment horizontal="center" vertical="center"/>
    </xf>
    <xf numFmtId="0" fontId="26" fillId="0" borderId="25" xfId="0" applyFont="1" applyBorder="1" applyAlignment="1">
      <alignment horizontal="left" vertical="center"/>
    </xf>
    <xf numFmtId="0" fontId="26" fillId="0" borderId="21" xfId="0" applyFont="1" applyBorder="1" applyAlignment="1">
      <alignment horizontal="right" vertical="center"/>
    </xf>
    <xf numFmtId="3" fontId="26" fillId="0" borderId="21" xfId="0" applyNumberFormat="1" applyFont="1" applyBorder="1" applyAlignment="1">
      <alignment horizontal="right" vertical="center"/>
    </xf>
    <xf numFmtId="10" fontId="26" fillId="0" borderId="21" xfId="0" applyNumberFormat="1" applyFont="1" applyBorder="1" applyAlignment="1">
      <alignment horizontal="right" vertical="center"/>
    </xf>
    <xf numFmtId="0" fontId="27" fillId="0" borderId="25" xfId="0" applyFont="1" applyBorder="1" applyAlignment="1">
      <alignment horizontal="left" vertical="center"/>
    </xf>
    <xf numFmtId="0" fontId="27" fillId="0" borderId="21" xfId="0" applyFont="1" applyBorder="1" applyAlignment="1">
      <alignment horizontal="right" vertical="center"/>
    </xf>
    <xf numFmtId="3" fontId="27" fillId="0" borderId="21" xfId="0" applyNumberFormat="1" applyFont="1" applyBorder="1" applyAlignment="1">
      <alignment horizontal="right" vertical="center"/>
    </xf>
    <xf numFmtId="10" fontId="27" fillId="0" borderId="21" xfId="0" applyNumberFormat="1" applyFont="1" applyBorder="1" applyAlignment="1">
      <alignment horizontal="right" vertical="center"/>
    </xf>
    <xf numFmtId="0" fontId="25" fillId="11" borderId="23" xfId="0" applyFont="1" applyFill="1" applyBorder="1" applyAlignment="1">
      <alignment horizontal="center" vertical="center"/>
    </xf>
    <xf numFmtId="0" fontId="28" fillId="0" borderId="23" xfId="0" applyFont="1" applyBorder="1"/>
    <xf numFmtId="3" fontId="28" fillId="0" borderId="23" xfId="0" applyNumberFormat="1" applyFont="1" applyBorder="1"/>
    <xf numFmtId="0" fontId="29" fillId="0" borderId="23" xfId="0" applyFont="1" applyBorder="1"/>
    <xf numFmtId="3" fontId="29" fillId="0" borderId="23" xfId="0" applyNumberFormat="1" applyFont="1" applyBorder="1"/>
    <xf numFmtId="0" fontId="30" fillId="0" borderId="23" xfId="0" applyFont="1" applyBorder="1"/>
    <xf numFmtId="3" fontId="30" fillId="0" borderId="23" xfId="0" applyNumberFormat="1" applyFont="1" applyBorder="1"/>
    <xf numFmtId="3" fontId="31" fillId="0" borderId="23" xfId="0" applyNumberFormat="1" applyFont="1" applyBorder="1"/>
    <xf numFmtId="0" fontId="0" fillId="0" borderId="0" xfId="0" applyAlignment="1">
      <alignment wrapText="1"/>
    </xf>
    <xf numFmtId="0" fontId="0" fillId="0" borderId="23" xfId="0" applyBorder="1"/>
    <xf numFmtId="3" fontId="0" fillId="0" borderId="23" xfId="0" applyNumberFormat="1" applyBorder="1"/>
    <xf numFmtId="0" fontId="32" fillId="11" borderId="23" xfId="0" applyFont="1" applyFill="1" applyBorder="1" applyAlignment="1">
      <alignment horizontal="center" vertical="center"/>
    </xf>
    <xf numFmtId="3" fontId="33" fillId="0" borderId="23" xfId="0" applyNumberFormat="1" applyFont="1" applyBorder="1" applyAlignment="1">
      <alignment horizontal="right" vertical="center"/>
    </xf>
    <xf numFmtId="0" fontId="33" fillId="0" borderId="23" xfId="0" applyFont="1" applyBorder="1" applyAlignment="1">
      <alignment horizontal="left" vertical="center"/>
    </xf>
    <xf numFmtId="0" fontId="33" fillId="0" borderId="23" xfId="0" applyFont="1" applyBorder="1" applyAlignment="1">
      <alignment horizontal="left" vertical="center" wrapText="1"/>
    </xf>
    <xf numFmtId="3" fontId="34" fillId="0" borderId="23" xfId="0" applyNumberFormat="1" applyFont="1" applyBorder="1" applyAlignment="1">
      <alignment horizontal="right" vertical="center"/>
    </xf>
    <xf numFmtId="3" fontId="0" fillId="0" borderId="28" xfId="0" applyNumberFormat="1" applyBorder="1"/>
    <xf numFmtId="9" fontId="0" fillId="0" borderId="0" xfId="3" applyFont="1"/>
    <xf numFmtId="0" fontId="35" fillId="11" borderId="23" xfId="0" applyFont="1" applyFill="1" applyBorder="1" applyAlignment="1">
      <alignment horizontal="center" vertical="center" wrapText="1"/>
    </xf>
    <xf numFmtId="0" fontId="35" fillId="11" borderId="24" xfId="0" applyFont="1" applyFill="1" applyBorder="1" applyAlignment="1">
      <alignment horizontal="center" vertical="center" wrapText="1"/>
    </xf>
    <xf numFmtId="0" fontId="35" fillId="5" borderId="24" xfId="0" applyFont="1" applyFill="1" applyBorder="1" applyAlignment="1">
      <alignment horizontal="center" vertical="center" wrapText="1"/>
    </xf>
    <xf numFmtId="0" fontId="36" fillId="0" borderId="25" xfId="0" applyFont="1" applyBorder="1" applyAlignment="1">
      <alignment horizontal="center" vertical="center" wrapText="1"/>
    </xf>
    <xf numFmtId="0" fontId="36" fillId="0" borderId="21" xfId="0" applyFont="1" applyBorder="1" applyAlignment="1">
      <alignment horizontal="left" vertical="center" wrapText="1"/>
    </xf>
    <xf numFmtId="0" fontId="37" fillId="0" borderId="21" xfId="0" applyFont="1" applyBorder="1" applyAlignment="1">
      <alignment horizontal="center" vertical="center" wrapText="1"/>
    </xf>
    <xf numFmtId="0" fontId="36" fillId="0" borderId="21" xfId="0" applyFont="1" applyBorder="1" applyAlignment="1">
      <alignment horizontal="center" vertical="center" wrapText="1"/>
    </xf>
    <xf numFmtId="44" fontId="36" fillId="0" borderId="21" xfId="2" applyFont="1" applyBorder="1" applyAlignment="1">
      <alignment horizontal="center" vertical="center" wrapText="1"/>
    </xf>
    <xf numFmtId="0" fontId="36" fillId="0" borderId="23" xfId="0" applyFont="1" applyBorder="1" applyAlignment="1">
      <alignment horizontal="center" vertical="center" wrapText="1"/>
    </xf>
    <xf numFmtId="0" fontId="31" fillId="0" borderId="0" xfId="0" applyFont="1"/>
    <xf numFmtId="0" fontId="38" fillId="0" borderId="0" xfId="0" applyFont="1" applyAlignment="1">
      <alignment horizontal="left" vertical="center"/>
    </xf>
    <xf numFmtId="44" fontId="37" fillId="0" borderId="21" xfId="2" applyFont="1" applyBorder="1" applyAlignment="1">
      <alignment horizontal="center" vertical="center" wrapText="1"/>
    </xf>
    <xf numFmtId="0" fontId="14" fillId="5" borderId="1" xfId="0" applyFont="1" applyFill="1" applyBorder="1" applyAlignment="1">
      <alignment horizontal="center" vertical="center" wrapText="1"/>
    </xf>
    <xf numFmtId="3" fontId="14" fillId="5" borderId="1" xfId="0" applyNumberFormat="1" applyFont="1" applyFill="1" applyBorder="1" applyAlignment="1">
      <alignment horizontal="center" vertical="center" wrapText="1"/>
    </xf>
    <xf numFmtId="3" fontId="15" fillId="0" borderId="1" xfId="4" applyNumberFormat="1" applyBorder="1"/>
    <xf numFmtId="165" fontId="4" fillId="0" borderId="1" xfId="3" applyNumberFormat="1" applyFont="1" applyBorder="1"/>
    <xf numFmtId="3" fontId="0" fillId="0" borderId="1" xfId="0" applyNumberFormat="1" applyBorder="1"/>
    <xf numFmtId="164" fontId="0" fillId="0" borderId="1" xfId="0" applyNumberFormat="1" applyBorder="1"/>
    <xf numFmtId="166" fontId="0" fillId="0" borderId="1" xfId="0" applyNumberFormat="1" applyBorder="1"/>
    <xf numFmtId="0" fontId="35" fillId="5" borderId="23" xfId="0" applyFont="1" applyFill="1" applyBorder="1" applyAlignment="1">
      <alignment horizontal="center" vertical="center" wrapText="1"/>
    </xf>
    <xf numFmtId="0" fontId="36" fillId="0" borderId="29" xfId="0" applyFont="1" applyBorder="1" applyAlignment="1">
      <alignment horizontal="center" vertical="center"/>
    </xf>
    <xf numFmtId="0" fontId="36" fillId="0" borderId="21" xfId="0" applyFont="1" applyBorder="1" applyAlignment="1">
      <alignment horizontal="center" vertical="center"/>
    </xf>
    <xf numFmtId="0" fontId="25" fillId="11" borderId="26" xfId="0" applyFont="1" applyFill="1" applyBorder="1" applyAlignment="1">
      <alignment horizontal="center" vertical="center"/>
    </xf>
    <xf numFmtId="0" fontId="25" fillId="11" borderId="25" xfId="0" applyFont="1" applyFill="1" applyBorder="1" applyAlignment="1">
      <alignment horizontal="center" vertical="center"/>
    </xf>
    <xf numFmtId="0" fontId="25" fillId="11" borderId="27" xfId="0" applyFont="1" applyFill="1" applyBorder="1" applyAlignment="1">
      <alignment horizontal="center" vertical="center"/>
    </xf>
    <xf numFmtId="0" fontId="25" fillId="11" borderId="24" xfId="0" applyFont="1" applyFill="1" applyBorder="1" applyAlignment="1">
      <alignment horizontal="center" vertical="center"/>
    </xf>
    <xf numFmtId="0" fontId="31" fillId="0" borderId="23" xfId="0" applyFont="1" applyBorder="1" applyAlignment="1">
      <alignment horizontal="left"/>
    </xf>
    <xf numFmtId="0" fontId="25" fillId="11" borderId="23" xfId="0" applyFont="1" applyFill="1" applyBorder="1" applyAlignment="1">
      <alignment horizontal="center" vertical="center"/>
    </xf>
    <xf numFmtId="0" fontId="32" fillId="11" borderId="23" xfId="0" applyFont="1" applyFill="1" applyBorder="1" applyAlignment="1">
      <alignment horizontal="center" vertical="center"/>
    </xf>
    <xf numFmtId="0" fontId="34" fillId="0" borderId="27" xfId="0" applyFont="1" applyBorder="1" applyAlignment="1">
      <alignment horizontal="left"/>
    </xf>
    <xf numFmtId="0" fontId="34" fillId="0" borderId="24" xfId="0" applyFont="1" applyBorder="1" applyAlignment="1">
      <alignment horizontal="left"/>
    </xf>
    <xf numFmtId="0" fontId="0" fillId="0" borderId="0" xfId="0" applyAlignment="1">
      <alignment horizontal="center"/>
    </xf>
    <xf numFmtId="2" fontId="6" fillId="8" borderId="18" xfId="0" applyNumberFormat="1" applyFont="1" applyFill="1" applyBorder="1" applyAlignment="1">
      <alignment horizontal="center"/>
    </xf>
    <xf numFmtId="2" fontId="6" fillId="8" borderId="22" xfId="0" applyNumberFormat="1" applyFont="1" applyFill="1" applyBorder="1" applyAlignment="1">
      <alignment horizontal="center"/>
    </xf>
    <xf numFmtId="0" fontId="7" fillId="3" borderId="3" xfId="0" applyFont="1" applyFill="1" applyBorder="1" applyAlignment="1">
      <alignment horizontal="right" vertical="center" wrapText="1"/>
    </xf>
    <xf numFmtId="0" fontId="7" fillId="3" borderId="7" xfId="0" applyFont="1" applyFill="1" applyBorder="1" applyAlignment="1">
      <alignment horizontal="right" vertical="center" wrapText="1"/>
    </xf>
    <xf numFmtId="0" fontId="8" fillId="3" borderId="8" xfId="0" applyFont="1" applyFill="1" applyBorder="1" applyAlignment="1">
      <alignment horizontal="left" vertical="center" wrapText="1"/>
    </xf>
    <xf numFmtId="0" fontId="0" fillId="3" borderId="3" xfId="0" applyFill="1" applyBorder="1" applyAlignment="1">
      <alignment horizontal="center"/>
    </xf>
    <xf numFmtId="0" fontId="0" fillId="3" borderId="4" xfId="0" applyFill="1" applyBorder="1" applyAlignment="1">
      <alignment horizontal="center"/>
    </xf>
    <xf numFmtId="0" fontId="0" fillId="3" borderId="5" xfId="0" applyFill="1" applyBorder="1" applyAlignment="1">
      <alignment horizontal="center"/>
    </xf>
    <xf numFmtId="0" fontId="7" fillId="3" borderId="2"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5" xfId="0"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0" xfId="0" applyFont="1" applyFill="1" applyAlignment="1">
      <alignment horizontal="left" vertical="top" wrapText="1"/>
    </xf>
    <xf numFmtId="0" fontId="7" fillId="3" borderId="11" xfId="0" applyFont="1" applyFill="1" applyBorder="1" applyAlignment="1">
      <alignment horizontal="right" vertical="center" wrapText="1"/>
    </xf>
    <xf numFmtId="0" fontId="8" fillId="3" borderId="0" xfId="0" applyFont="1" applyFill="1" applyAlignment="1">
      <alignment horizontal="left" vertical="center" wrapText="1"/>
    </xf>
    <xf numFmtId="0" fontId="7" fillId="3" borderId="14" xfId="0" applyFont="1" applyFill="1" applyBorder="1" applyAlignment="1">
      <alignment horizontal="right" vertical="center" wrapText="1"/>
    </xf>
    <xf numFmtId="0" fontId="7" fillId="3" borderId="15" xfId="0" applyFont="1" applyFill="1" applyBorder="1" applyAlignment="1">
      <alignment horizontal="right" vertical="center" wrapText="1"/>
    </xf>
    <xf numFmtId="0" fontId="7" fillId="3" borderId="16"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21" fillId="5" borderId="1" xfId="0" applyFont="1" applyFill="1" applyBorder="1" applyAlignment="1">
      <alignment horizontal="center" vertical="center" wrapText="1"/>
    </xf>
    <xf numFmtId="0" fontId="36" fillId="0" borderId="26" xfId="0" applyFont="1" applyBorder="1" applyAlignment="1">
      <alignment horizontal="center" vertical="center" wrapText="1"/>
    </xf>
    <xf numFmtId="0" fontId="36" fillId="0" borderId="25" xfId="0" applyFont="1" applyBorder="1" applyAlignment="1">
      <alignment horizontal="center" vertical="center" wrapText="1"/>
    </xf>
  </cellXfs>
  <cellStyles count="5">
    <cellStyle name="Moeda" xfId="2" builtinId="4"/>
    <cellStyle name="Normal" xfId="0" builtinId="0"/>
    <cellStyle name="Normal 2" xfId="4" xr:uid="{E229469C-3A93-471E-B857-23F93297ED5D}"/>
    <cellStyle name="Porcentagem" xfId="3" builtinId="5"/>
    <cellStyle name="Vírgula" xfId="1" builtinId="3"/>
  </cellStyles>
  <dxfs count="1">
    <dxf>
      <numFmt numFmtId="34" formatCode="_-&quot;R$&quot;\ * #,##0.00_-;\-&quot;R$&quot;\ * #,##0.00_-;_-&quot;R$&quot;\ * &quot;-&quot;??_-;_-@_-"/>
    </dxf>
  </dxfs>
  <tableStyles count="0" defaultTableStyle="TableStyleMedium2" defaultPivotStyle="PivotStyleLight16"/>
  <colors>
    <mruColors>
      <color rgb="FFA162D0"/>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stacked"/>
        <c:varyColors val="0"/>
        <c:ser>
          <c:idx val="0"/>
          <c:order val="0"/>
          <c:tx>
            <c:strRef>
              <c:f>Eixos!$B$10</c:f>
              <c:strCache>
                <c:ptCount val="1"/>
                <c:pt idx="0">
                  <c:v>Gestão (R$)</c:v>
                </c:pt>
              </c:strCache>
            </c:strRef>
          </c:tx>
          <c:spPr>
            <a:solidFill>
              <a:schemeClr val="accent1"/>
            </a:solidFill>
            <a:ln>
              <a:noFill/>
            </a:ln>
            <a:effectLst/>
          </c:spPr>
          <c:invertIfNegative val="0"/>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Eixos!$B$11:$B$14</c:f>
              <c:numCache>
                <c:formatCode>#,##0</c:formatCode>
                <c:ptCount val="4"/>
                <c:pt idx="0">
                  <c:v>3800000</c:v>
                </c:pt>
                <c:pt idx="1">
                  <c:v>1600000</c:v>
                </c:pt>
                <c:pt idx="2">
                  <c:v>12186045.890000001</c:v>
                </c:pt>
                <c:pt idx="3">
                  <c:v>15237805</c:v>
                </c:pt>
              </c:numCache>
            </c:numRef>
          </c:val>
          <c:extLst>
            <c:ext xmlns:c16="http://schemas.microsoft.com/office/drawing/2014/chart" uri="{C3380CC4-5D6E-409C-BE32-E72D297353CC}">
              <c16:uniqueId val="{00000000-037E-4809-B69E-177965E2032C}"/>
            </c:ext>
          </c:extLst>
        </c:ser>
        <c:ser>
          <c:idx val="1"/>
          <c:order val="1"/>
          <c:tx>
            <c:strRef>
              <c:f>Eixos!$C$10</c:f>
              <c:strCache>
                <c:ptCount val="1"/>
                <c:pt idx="0">
                  <c:v>Estudos/ projetos (R$)</c:v>
                </c:pt>
              </c:strCache>
            </c:strRef>
          </c:tx>
          <c:spPr>
            <a:solidFill>
              <a:schemeClr val="accent2"/>
            </a:solidFill>
            <a:ln>
              <a:noFill/>
            </a:ln>
            <a:effectLst/>
          </c:spPr>
          <c:invertIfNegative val="0"/>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Eixos!$C$11:$C$14</c:f>
              <c:numCache>
                <c:formatCode>#,##0</c:formatCode>
                <c:ptCount val="4"/>
                <c:pt idx="0">
                  <c:v>35000000</c:v>
                </c:pt>
                <c:pt idx="1">
                  <c:v>2969762</c:v>
                </c:pt>
                <c:pt idx="2">
                  <c:v>155136084.46000001</c:v>
                </c:pt>
                <c:pt idx="3">
                  <c:v>34101469</c:v>
                </c:pt>
              </c:numCache>
            </c:numRef>
          </c:val>
          <c:extLst>
            <c:ext xmlns:c16="http://schemas.microsoft.com/office/drawing/2014/chart" uri="{C3380CC4-5D6E-409C-BE32-E72D297353CC}">
              <c16:uniqueId val="{00000001-037E-4809-B69E-177965E2032C}"/>
            </c:ext>
          </c:extLst>
        </c:ser>
        <c:ser>
          <c:idx val="2"/>
          <c:order val="2"/>
          <c:tx>
            <c:strRef>
              <c:f>Eixos!$D$10</c:f>
              <c:strCache>
                <c:ptCount val="1"/>
                <c:pt idx="0">
                  <c:v>Obras (R$)</c:v>
                </c:pt>
              </c:strCache>
            </c:strRef>
          </c:tx>
          <c:spPr>
            <a:solidFill>
              <a:schemeClr val="accent3"/>
            </a:solidFill>
            <a:ln>
              <a:noFill/>
            </a:ln>
            <a:effectLst/>
          </c:spPr>
          <c:invertIfNegative val="0"/>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Eixos!$D$11:$D$14</c:f>
              <c:numCache>
                <c:formatCode>#,##0</c:formatCode>
                <c:ptCount val="4"/>
                <c:pt idx="0">
                  <c:v>0</c:v>
                </c:pt>
                <c:pt idx="1">
                  <c:v>0</c:v>
                </c:pt>
                <c:pt idx="2">
                  <c:v>4175646115.6499996</c:v>
                </c:pt>
                <c:pt idx="3">
                  <c:v>2260000000</c:v>
                </c:pt>
              </c:numCache>
            </c:numRef>
          </c:val>
          <c:extLst>
            <c:ext xmlns:c16="http://schemas.microsoft.com/office/drawing/2014/chart" uri="{C3380CC4-5D6E-409C-BE32-E72D297353CC}">
              <c16:uniqueId val="{00000002-037E-4809-B69E-177965E2032C}"/>
            </c:ext>
          </c:extLst>
        </c:ser>
        <c:dLbls>
          <c:showLegendKey val="0"/>
          <c:showVal val="0"/>
          <c:showCatName val="0"/>
          <c:showSerName val="0"/>
          <c:showPercent val="0"/>
          <c:showBubbleSize val="0"/>
        </c:dLbls>
        <c:gapWidth val="150"/>
        <c:overlap val="100"/>
        <c:axId val="1479054352"/>
        <c:axId val="951789376"/>
      </c:barChart>
      <c:catAx>
        <c:axId val="1479054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51789376"/>
        <c:crosses val="autoZero"/>
        <c:auto val="1"/>
        <c:lblAlgn val="ctr"/>
        <c:lblOffset val="100"/>
        <c:noMultiLvlLbl val="0"/>
      </c:catAx>
      <c:valAx>
        <c:axId val="9517893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790543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barChart>
        <c:barDir val="col"/>
        <c:grouping val="stacked"/>
        <c:varyColors val="0"/>
        <c:ser>
          <c:idx val="0"/>
          <c:order val="0"/>
          <c:tx>
            <c:strRef>
              <c:f>Eixos!$B$10</c:f>
              <c:strCache>
                <c:ptCount val="1"/>
                <c:pt idx="0">
                  <c:v>Gestão (R$)</c:v>
                </c:pt>
              </c:strCache>
            </c:strRef>
          </c:tx>
          <c:spPr>
            <a:solidFill>
              <a:schemeClr val="accent1"/>
            </a:solidFill>
            <a:ln>
              <a:noFill/>
            </a:ln>
            <a:effectLst/>
          </c:spPr>
          <c:invertIfNegative val="0"/>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Eixos!$B$11:$B$14</c:f>
              <c:numCache>
                <c:formatCode>#,##0</c:formatCode>
                <c:ptCount val="4"/>
                <c:pt idx="0">
                  <c:v>3800000</c:v>
                </c:pt>
                <c:pt idx="1">
                  <c:v>1600000</c:v>
                </c:pt>
                <c:pt idx="2">
                  <c:v>12186045.890000001</c:v>
                </c:pt>
                <c:pt idx="3">
                  <c:v>15237805</c:v>
                </c:pt>
              </c:numCache>
            </c:numRef>
          </c:val>
          <c:extLst>
            <c:ext xmlns:c16="http://schemas.microsoft.com/office/drawing/2014/chart" uri="{C3380CC4-5D6E-409C-BE32-E72D297353CC}">
              <c16:uniqueId val="{00000000-CFED-4CBE-B2DA-CE281FFCCE2D}"/>
            </c:ext>
          </c:extLst>
        </c:ser>
        <c:ser>
          <c:idx val="1"/>
          <c:order val="1"/>
          <c:tx>
            <c:strRef>
              <c:f>Eixos!$C$10</c:f>
              <c:strCache>
                <c:ptCount val="1"/>
                <c:pt idx="0">
                  <c:v>Estudos/ projetos (R$)</c:v>
                </c:pt>
              </c:strCache>
            </c:strRef>
          </c:tx>
          <c:spPr>
            <a:solidFill>
              <a:schemeClr val="accent2"/>
            </a:solidFill>
            <a:ln>
              <a:noFill/>
            </a:ln>
            <a:effectLst/>
          </c:spPr>
          <c:invertIfNegative val="0"/>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Eixos!$C$11:$C$14</c:f>
              <c:numCache>
                <c:formatCode>#,##0</c:formatCode>
                <c:ptCount val="4"/>
                <c:pt idx="0">
                  <c:v>35000000</c:v>
                </c:pt>
                <c:pt idx="1">
                  <c:v>2969762</c:v>
                </c:pt>
                <c:pt idx="2">
                  <c:v>155136084.46000001</c:v>
                </c:pt>
                <c:pt idx="3">
                  <c:v>34101469</c:v>
                </c:pt>
              </c:numCache>
            </c:numRef>
          </c:val>
          <c:extLst>
            <c:ext xmlns:c16="http://schemas.microsoft.com/office/drawing/2014/chart" uri="{C3380CC4-5D6E-409C-BE32-E72D297353CC}">
              <c16:uniqueId val="{00000001-CFED-4CBE-B2DA-CE281FFCCE2D}"/>
            </c:ext>
          </c:extLst>
        </c:ser>
        <c:dLbls>
          <c:showLegendKey val="0"/>
          <c:showVal val="0"/>
          <c:showCatName val="0"/>
          <c:showSerName val="0"/>
          <c:showPercent val="0"/>
          <c:showBubbleSize val="0"/>
        </c:dLbls>
        <c:gapWidth val="150"/>
        <c:overlap val="100"/>
        <c:axId val="1479030832"/>
        <c:axId val="938417856"/>
      </c:barChart>
      <c:catAx>
        <c:axId val="1479030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38417856"/>
        <c:crosses val="autoZero"/>
        <c:auto val="1"/>
        <c:lblAlgn val="ctr"/>
        <c:lblOffset val="100"/>
        <c:noMultiLvlLbl val="0"/>
      </c:catAx>
      <c:valAx>
        <c:axId val="93841785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790308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Considerando</a:t>
            </a:r>
            <a:r>
              <a:rPr lang="pt-BR" baseline="0"/>
              <a:t> as</a:t>
            </a:r>
            <a:r>
              <a:rPr lang="pt-BR"/>
              <a:t> obras</a:t>
            </a:r>
          </a:p>
        </c:rich>
      </c:tx>
      <c:layout>
        <c:manualLayout>
          <c:xMode val="edge"/>
          <c:yMode val="edge"/>
          <c:x val="0.31022900262467185"/>
          <c:y val="3.652968036529680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doughnutChart>
        <c:varyColors val="1"/>
        <c:ser>
          <c:idx val="0"/>
          <c:order val="0"/>
          <c:spPr>
            <a:solidFill>
              <a:srgbClr val="00B0F0"/>
            </a:solidFill>
          </c:spPr>
          <c:dPt>
            <c:idx val="0"/>
            <c:bubble3D val="0"/>
            <c:spPr>
              <a:solidFill>
                <a:schemeClr val="accent6"/>
              </a:solidFill>
              <a:ln w="19050">
                <a:solidFill>
                  <a:schemeClr val="lt1"/>
                </a:solidFill>
              </a:ln>
              <a:effectLst/>
            </c:spPr>
            <c:extLst>
              <c:ext xmlns:c16="http://schemas.microsoft.com/office/drawing/2014/chart" uri="{C3380CC4-5D6E-409C-BE32-E72D297353CC}">
                <c16:uniqueId val="{00000001-AD65-42B2-A8D0-04BB21B7F3E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D65-42B2-A8D0-04BB21B7F3EC}"/>
              </c:ext>
            </c:extLst>
          </c:dPt>
          <c:dPt>
            <c:idx val="2"/>
            <c:bubble3D val="0"/>
            <c:spPr>
              <a:solidFill>
                <a:srgbClr val="00B0F0"/>
              </a:solidFill>
              <a:ln w="19050">
                <a:solidFill>
                  <a:schemeClr val="lt1"/>
                </a:solidFill>
              </a:ln>
              <a:effectLst/>
            </c:spPr>
            <c:extLst>
              <c:ext xmlns:c16="http://schemas.microsoft.com/office/drawing/2014/chart" uri="{C3380CC4-5D6E-409C-BE32-E72D297353CC}">
                <c16:uniqueId val="{00000005-AD65-42B2-A8D0-04BB21B7F3EC}"/>
              </c:ext>
            </c:extLst>
          </c:dPt>
          <c:dPt>
            <c:idx val="3"/>
            <c:bubble3D val="0"/>
            <c:spPr>
              <a:solidFill>
                <a:srgbClr val="A162D0"/>
              </a:solidFill>
              <a:ln w="19050">
                <a:solidFill>
                  <a:schemeClr val="lt1"/>
                </a:solidFill>
              </a:ln>
              <a:effectLst/>
            </c:spPr>
            <c:extLst>
              <c:ext xmlns:c16="http://schemas.microsoft.com/office/drawing/2014/chart" uri="{C3380CC4-5D6E-409C-BE32-E72D297353CC}">
                <c16:uniqueId val="{00000007-AD65-42B2-A8D0-04BB21B7F3EC}"/>
              </c:ext>
            </c:extLst>
          </c:dPt>
          <c:dLbls>
            <c:dLbl>
              <c:idx val="0"/>
              <c:layout>
                <c:manualLayout>
                  <c:x val="-4.7222222222222221E-2"/>
                  <c:y val="-0.14155251141552511"/>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D65-42B2-A8D0-04BB21B7F3EC}"/>
                </c:ext>
              </c:extLst>
            </c:dLbl>
            <c:dLbl>
              <c:idx val="1"/>
              <c:layout>
                <c:manualLayout>
                  <c:x val="4.9999999999999947E-2"/>
                  <c:y val="-0.1324200913242009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D65-42B2-A8D0-04BB21B7F3EC}"/>
                </c:ext>
              </c:extLst>
            </c:dLbl>
            <c:dLbl>
              <c:idx val="2"/>
              <c:layout>
                <c:manualLayout>
                  <c:x val="9.4444444444444442E-2"/>
                  <c:y val="0.100456621004566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D65-42B2-A8D0-04BB21B7F3EC}"/>
                </c:ext>
              </c:extLst>
            </c:dLbl>
            <c:dLbl>
              <c:idx val="3"/>
              <c:layout>
                <c:manualLayout>
                  <c:x val="-0.11666666666666667"/>
                  <c:y val="-5.022831050228314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D65-42B2-A8D0-04BB21B7F3EC}"/>
                </c:ext>
              </c:extLst>
            </c:dLbl>
            <c:numFmt formatCode="0.0%" sourceLinked="0"/>
            <c:spPr>
              <a:solidFill>
                <a:schemeClr val="lt1"/>
              </a:solidFill>
              <a:ln>
                <a:solidFill>
                  <a:schemeClr val="dk1">
                    <a:lumMod val="25000"/>
                    <a:lumOff val="75000"/>
                  </a:schemeClr>
                </a:solid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pt-B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Eixos!$A$11:$A$14</c:f>
              <c:strCache>
                <c:ptCount val="4"/>
                <c:pt idx="0">
                  <c:v>EIXO 1: CONSERVAÇÃO AMBIENTAL</c:v>
                </c:pt>
                <c:pt idx="1">
                  <c:v>EIXO 2: PRODUÇÃO SUSTENTÁVEL</c:v>
                </c:pt>
                <c:pt idx="2">
                  <c:v>EIXO 3: GARANTIA DE ACESSO A ÁGUA</c:v>
                </c:pt>
                <c:pt idx="3">
                  <c:v>EIXO 4: RESILIÊNCIA A EVENTOS EXTREMOS</c:v>
                </c:pt>
              </c:strCache>
            </c:strRef>
          </c:cat>
          <c:val>
            <c:numRef>
              <c:f>Eixos!$E$11:$E$14</c:f>
              <c:numCache>
                <c:formatCode>#,##0</c:formatCode>
                <c:ptCount val="4"/>
                <c:pt idx="0">
                  <c:v>38800000</c:v>
                </c:pt>
                <c:pt idx="1">
                  <c:v>4569762</c:v>
                </c:pt>
                <c:pt idx="2">
                  <c:v>4342968246</c:v>
                </c:pt>
                <c:pt idx="3">
                  <c:v>2309339274</c:v>
                </c:pt>
              </c:numCache>
            </c:numRef>
          </c:val>
          <c:extLst>
            <c:ext xmlns:c16="http://schemas.microsoft.com/office/drawing/2014/chart" uri="{C3380CC4-5D6E-409C-BE32-E72D297353CC}">
              <c16:uniqueId val="{00000000-D9B4-4381-AB7A-BE64C0073982}"/>
            </c:ext>
          </c:extLst>
        </c:ser>
        <c:dLbls>
          <c:showLegendKey val="0"/>
          <c:showVal val="0"/>
          <c:showCatName val="0"/>
          <c:showSerName val="0"/>
          <c:showPercent val="0"/>
          <c:showBubbleSize val="0"/>
          <c:showLeaderLines val="1"/>
        </c:dLbls>
        <c:firstSliceAng val="0"/>
        <c:holeSize val="4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Desconsiderando</a:t>
            </a:r>
            <a:r>
              <a:rPr lang="pt-BR" baseline="0"/>
              <a:t> as obras</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doughnutChart>
        <c:varyColors val="1"/>
        <c:ser>
          <c:idx val="0"/>
          <c:order val="0"/>
          <c:dPt>
            <c:idx val="0"/>
            <c:bubble3D val="0"/>
            <c:spPr>
              <a:solidFill>
                <a:schemeClr val="accent6"/>
              </a:solidFill>
              <a:ln w="19050">
                <a:solidFill>
                  <a:schemeClr val="lt1"/>
                </a:solidFill>
              </a:ln>
              <a:effectLst/>
            </c:spPr>
            <c:extLst>
              <c:ext xmlns:c16="http://schemas.microsoft.com/office/drawing/2014/chart" uri="{C3380CC4-5D6E-409C-BE32-E72D297353CC}">
                <c16:uniqueId val="{00000001-7A9D-4914-A5EC-3E046EE4475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A9D-4914-A5EC-3E046EE44750}"/>
              </c:ext>
            </c:extLst>
          </c:dPt>
          <c:dPt>
            <c:idx val="2"/>
            <c:bubble3D val="0"/>
            <c:spPr>
              <a:solidFill>
                <a:srgbClr val="00B0F0"/>
              </a:solidFill>
              <a:ln w="19050">
                <a:solidFill>
                  <a:schemeClr val="lt1"/>
                </a:solidFill>
              </a:ln>
              <a:effectLst/>
            </c:spPr>
            <c:extLst>
              <c:ext xmlns:c16="http://schemas.microsoft.com/office/drawing/2014/chart" uri="{C3380CC4-5D6E-409C-BE32-E72D297353CC}">
                <c16:uniqueId val="{00000005-7A9D-4914-A5EC-3E046EE44750}"/>
              </c:ext>
            </c:extLst>
          </c:dPt>
          <c:dPt>
            <c:idx val="3"/>
            <c:bubble3D val="0"/>
            <c:spPr>
              <a:solidFill>
                <a:srgbClr val="A162D0"/>
              </a:solidFill>
              <a:ln w="19050">
                <a:solidFill>
                  <a:schemeClr val="lt1"/>
                </a:solidFill>
              </a:ln>
              <a:effectLst/>
            </c:spPr>
            <c:extLst>
              <c:ext xmlns:c16="http://schemas.microsoft.com/office/drawing/2014/chart" uri="{C3380CC4-5D6E-409C-BE32-E72D297353CC}">
                <c16:uniqueId val="{00000007-7A9D-4914-A5EC-3E046EE44750}"/>
              </c:ext>
            </c:extLst>
          </c:dPt>
          <c:dLbls>
            <c:dLbl>
              <c:idx val="0"/>
              <c:layout>
                <c:manualLayout>
                  <c:x val="3.3333333333333284E-2"/>
                  <c:y val="-0.134259259259259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D-4914-A5EC-3E046EE44750}"/>
                </c:ext>
              </c:extLst>
            </c:dLbl>
            <c:dLbl>
              <c:idx val="1"/>
              <c:layout>
                <c:manualLayout>
                  <c:x val="0.10833333333333323"/>
                  <c:y val="-8.333333333333332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D-4914-A5EC-3E046EE44750}"/>
                </c:ext>
              </c:extLst>
            </c:dLbl>
            <c:dLbl>
              <c:idx val="2"/>
              <c:layout>
                <c:manualLayout>
                  <c:x val="0.1388888888888889"/>
                  <c:y val="8.796296296296296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D-4914-A5EC-3E046EE44750}"/>
                </c:ext>
              </c:extLst>
            </c:dLbl>
            <c:dLbl>
              <c:idx val="3"/>
              <c:layout>
                <c:manualLayout>
                  <c:x val="-0.1027777777777778"/>
                  <c:y val="-6.01851851851852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D-4914-A5EC-3E046EE44750}"/>
                </c:ext>
              </c:extLst>
            </c:dLbl>
            <c:numFmt formatCode="0.0%" sourceLinked="0"/>
            <c:spPr>
              <a:solidFill>
                <a:schemeClr val="lt1"/>
              </a:solidFill>
              <a:ln>
                <a:solidFill>
                  <a:schemeClr val="dk1">
                    <a:lumMod val="25000"/>
                    <a:lumOff val="75000"/>
                  </a:schemeClr>
                </a:solidFill>
              </a:ln>
              <a:effectLst/>
            </c:spPr>
            <c:txPr>
              <a:bodyPr rot="0" spcFirstLastPara="1" vertOverflow="clip" horzOverflow="clip" vert="horz" wrap="square" lIns="36576" tIns="18288" rIns="36576" bIns="18288"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pt-B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Eixos!$A$19:$A$22</c:f>
              <c:strCache>
                <c:ptCount val="4"/>
                <c:pt idx="0">
                  <c:v>EIXO 1: CONSERVAÇÃO AMBIENTAL</c:v>
                </c:pt>
                <c:pt idx="1">
                  <c:v>EIXO 2: PRODUÇÃO SUSTENTÁVEL</c:v>
                </c:pt>
                <c:pt idx="2">
                  <c:v>EIXO 3: GARANTIA DE ACESSO A ÁGUA</c:v>
                </c:pt>
                <c:pt idx="3">
                  <c:v>EIXO 4: RESILIÊNCIA A EVENTOS EXTREMOS</c:v>
                </c:pt>
              </c:strCache>
            </c:strRef>
          </c:cat>
          <c:val>
            <c:numRef>
              <c:f>Eixos!$E$19:$E$22</c:f>
              <c:numCache>
                <c:formatCode>#,##0</c:formatCode>
                <c:ptCount val="4"/>
                <c:pt idx="0">
                  <c:v>38800000</c:v>
                </c:pt>
                <c:pt idx="1">
                  <c:v>4569762</c:v>
                </c:pt>
                <c:pt idx="2">
                  <c:v>167322130.35000002</c:v>
                </c:pt>
                <c:pt idx="3">
                  <c:v>49339274</c:v>
                </c:pt>
              </c:numCache>
            </c:numRef>
          </c:val>
          <c:extLst>
            <c:ext xmlns:c16="http://schemas.microsoft.com/office/drawing/2014/chart" uri="{C3380CC4-5D6E-409C-BE32-E72D297353CC}">
              <c16:uniqueId val="{00000000-F1C1-4B87-A0C2-B0C379DBF0D1}"/>
            </c:ext>
          </c:extLst>
        </c:ser>
        <c:dLbls>
          <c:showLegendKey val="0"/>
          <c:showVal val="0"/>
          <c:showCatName val="0"/>
          <c:showSerName val="0"/>
          <c:showPercent val="0"/>
          <c:showBubbleSize val="0"/>
          <c:showLeaderLines val="1"/>
        </c:dLbls>
        <c:firstSliceAng val="0"/>
        <c:holeSize val="45"/>
      </c:doughnut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Ações!$C$1</c:f>
              <c:strCache>
                <c:ptCount val="1"/>
                <c:pt idx="0">
                  <c:v>Gestão (R$)</c:v>
                </c:pt>
              </c:strCache>
            </c:strRef>
          </c:tx>
          <c:spPr>
            <a:solidFill>
              <a:schemeClr val="accent1"/>
            </a:solidFill>
            <a:ln>
              <a:noFill/>
            </a:ln>
            <a:effectLst/>
          </c:spPr>
          <c:invertIfNegative val="0"/>
          <c:cat>
            <c:multiLvlStrRef>
              <c:f>Ações!$A$2:$B$5</c:f>
              <c:multiLvlStrCache>
                <c:ptCount val="4"/>
                <c:lvl>
                  <c:pt idx="0">
                    <c:v>Proteção e conservação das áreas de drenagem dos mananciais de abastecimento</c:v>
                  </c:pt>
                  <c:pt idx="1">
                    <c:v>Elaboração e implementação dos Planos de Manejo das UCs localizadas em áreas de drenagem de mananciais de abastecimento</c:v>
                  </c:pt>
                  <c:pt idx="2">
                    <c:v>Articulação de interesses para recuperação e preservação de áreas chave para produção hídrica</c:v>
                  </c:pt>
                  <c:pt idx="3">
                    <c:v>Implantação de projetos de recuperação e preservação de áreas chave para produção hídrica</c:v>
                  </c:pt>
                </c:lvl>
                <c:lvl>
                  <c:pt idx="0">
                    <c:v>1.1.1</c:v>
                  </c:pt>
                  <c:pt idx="1">
                    <c:v>1.1.2</c:v>
                  </c:pt>
                  <c:pt idx="2">
                    <c:v>1.2.1</c:v>
                  </c:pt>
                  <c:pt idx="3">
                    <c:v>1.2.2</c:v>
                  </c:pt>
                </c:lvl>
              </c:multiLvlStrCache>
            </c:multiLvlStrRef>
          </c:cat>
          <c:val>
            <c:numRef>
              <c:f>Ações!$C$2:$C$5</c:f>
              <c:numCache>
                <c:formatCode>#,##0</c:formatCode>
                <c:ptCount val="4"/>
                <c:pt idx="0">
                  <c:v>270000</c:v>
                </c:pt>
                <c:pt idx="1">
                  <c:v>1600000</c:v>
                </c:pt>
                <c:pt idx="2">
                  <c:v>180000</c:v>
                </c:pt>
                <c:pt idx="3">
                  <c:v>1750000</c:v>
                </c:pt>
              </c:numCache>
            </c:numRef>
          </c:val>
          <c:extLst>
            <c:ext xmlns:c16="http://schemas.microsoft.com/office/drawing/2014/chart" uri="{C3380CC4-5D6E-409C-BE32-E72D297353CC}">
              <c16:uniqueId val="{00000000-76A6-4690-BB14-3C6E39D695DE}"/>
            </c:ext>
          </c:extLst>
        </c:ser>
        <c:ser>
          <c:idx val="1"/>
          <c:order val="1"/>
          <c:tx>
            <c:strRef>
              <c:f>Ações!$D$1</c:f>
              <c:strCache>
                <c:ptCount val="1"/>
                <c:pt idx="0">
                  <c:v>Estudos/ projetos (R$)</c:v>
                </c:pt>
              </c:strCache>
            </c:strRef>
          </c:tx>
          <c:spPr>
            <a:solidFill>
              <a:schemeClr val="accent2"/>
            </a:solidFill>
            <a:ln>
              <a:noFill/>
            </a:ln>
            <a:effectLst/>
          </c:spPr>
          <c:invertIfNegative val="0"/>
          <c:cat>
            <c:multiLvlStrRef>
              <c:f>Ações!$A$2:$B$5</c:f>
              <c:multiLvlStrCache>
                <c:ptCount val="4"/>
                <c:lvl>
                  <c:pt idx="0">
                    <c:v>Proteção e conservação das áreas de drenagem dos mananciais de abastecimento</c:v>
                  </c:pt>
                  <c:pt idx="1">
                    <c:v>Elaboração e implementação dos Planos de Manejo das UCs localizadas em áreas de drenagem de mananciais de abastecimento</c:v>
                  </c:pt>
                  <c:pt idx="2">
                    <c:v>Articulação de interesses para recuperação e preservação de áreas chave para produção hídrica</c:v>
                  </c:pt>
                  <c:pt idx="3">
                    <c:v>Implantação de projetos de recuperação e preservação de áreas chave para produção hídrica</c:v>
                  </c:pt>
                </c:lvl>
                <c:lvl>
                  <c:pt idx="0">
                    <c:v>1.1.1</c:v>
                  </c:pt>
                  <c:pt idx="1">
                    <c:v>1.1.2</c:v>
                  </c:pt>
                  <c:pt idx="2">
                    <c:v>1.2.1</c:v>
                  </c:pt>
                  <c:pt idx="3">
                    <c:v>1.2.2</c:v>
                  </c:pt>
                </c:lvl>
              </c:multiLvlStrCache>
            </c:multiLvlStrRef>
          </c:cat>
          <c:val>
            <c:numRef>
              <c:f>Ações!$D$2:$D$5</c:f>
              <c:numCache>
                <c:formatCode>#,##0</c:formatCode>
                <c:ptCount val="4"/>
                <c:pt idx="0">
                  <c:v>1250000</c:v>
                </c:pt>
                <c:pt idx="1">
                  <c:v>5750000</c:v>
                </c:pt>
                <c:pt idx="3">
                  <c:v>28000000</c:v>
                </c:pt>
              </c:numCache>
            </c:numRef>
          </c:val>
          <c:extLst>
            <c:ext xmlns:c16="http://schemas.microsoft.com/office/drawing/2014/chart" uri="{C3380CC4-5D6E-409C-BE32-E72D297353CC}">
              <c16:uniqueId val="{00000001-76A6-4690-BB14-3C6E39D695DE}"/>
            </c:ext>
          </c:extLst>
        </c:ser>
        <c:ser>
          <c:idx val="2"/>
          <c:order val="2"/>
          <c:tx>
            <c:strRef>
              <c:f>Ações!$E$1</c:f>
              <c:strCache>
                <c:ptCount val="1"/>
                <c:pt idx="0">
                  <c:v>Obras (R$)</c:v>
                </c:pt>
              </c:strCache>
            </c:strRef>
          </c:tx>
          <c:spPr>
            <a:solidFill>
              <a:schemeClr val="accent3"/>
            </a:solidFill>
            <a:ln>
              <a:noFill/>
            </a:ln>
            <a:effectLst/>
          </c:spPr>
          <c:invertIfNegative val="0"/>
          <c:cat>
            <c:multiLvlStrRef>
              <c:f>Ações!$A$2:$B$5</c:f>
              <c:multiLvlStrCache>
                <c:ptCount val="4"/>
                <c:lvl>
                  <c:pt idx="0">
                    <c:v>Proteção e conservação das áreas de drenagem dos mananciais de abastecimento</c:v>
                  </c:pt>
                  <c:pt idx="1">
                    <c:v>Elaboração e implementação dos Planos de Manejo das UCs localizadas em áreas de drenagem de mananciais de abastecimento</c:v>
                  </c:pt>
                  <c:pt idx="2">
                    <c:v>Articulação de interesses para recuperação e preservação de áreas chave para produção hídrica</c:v>
                  </c:pt>
                  <c:pt idx="3">
                    <c:v>Implantação de projetos de recuperação e preservação de áreas chave para produção hídrica</c:v>
                  </c:pt>
                </c:lvl>
                <c:lvl>
                  <c:pt idx="0">
                    <c:v>1.1.1</c:v>
                  </c:pt>
                  <c:pt idx="1">
                    <c:v>1.1.2</c:v>
                  </c:pt>
                  <c:pt idx="2">
                    <c:v>1.2.1</c:v>
                  </c:pt>
                  <c:pt idx="3">
                    <c:v>1.2.2</c:v>
                  </c:pt>
                </c:lvl>
              </c:multiLvlStrCache>
            </c:multiLvlStrRef>
          </c:cat>
          <c:val>
            <c:numRef>
              <c:f>Ações!$E$2:$E$5</c:f>
              <c:numCache>
                <c:formatCode>#,##0</c:formatCode>
                <c:ptCount val="4"/>
              </c:numCache>
            </c:numRef>
          </c:val>
          <c:extLst>
            <c:ext xmlns:c16="http://schemas.microsoft.com/office/drawing/2014/chart" uri="{C3380CC4-5D6E-409C-BE32-E72D297353CC}">
              <c16:uniqueId val="{00000002-76A6-4690-BB14-3C6E39D695DE}"/>
            </c:ext>
          </c:extLst>
        </c:ser>
        <c:dLbls>
          <c:showLegendKey val="0"/>
          <c:showVal val="0"/>
          <c:showCatName val="0"/>
          <c:showSerName val="0"/>
          <c:showPercent val="0"/>
          <c:showBubbleSize val="0"/>
        </c:dLbls>
        <c:gapWidth val="150"/>
        <c:overlap val="100"/>
        <c:axId val="1871378384"/>
        <c:axId val="507089792"/>
      </c:barChart>
      <c:catAx>
        <c:axId val="1871378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07089792"/>
        <c:crosses val="autoZero"/>
        <c:auto val="1"/>
        <c:lblAlgn val="ctr"/>
        <c:lblOffset val="100"/>
        <c:noMultiLvlLbl val="0"/>
      </c:catAx>
      <c:valAx>
        <c:axId val="5070897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871378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Ações!$C$1</c:f>
              <c:strCache>
                <c:ptCount val="1"/>
                <c:pt idx="0">
                  <c:v>Gestão (R$)</c:v>
                </c:pt>
              </c:strCache>
            </c:strRef>
          </c:tx>
          <c:spPr>
            <a:solidFill>
              <a:schemeClr val="accent1"/>
            </a:solidFill>
            <a:ln>
              <a:noFill/>
            </a:ln>
            <a:effectLst/>
          </c:spPr>
          <c:invertIfNegative val="0"/>
          <c:cat>
            <c:multiLvlStrRef>
              <c:f>Ações!$A$6:$B$13</c:f>
              <c:multiLvlStrCache>
                <c:ptCount val="8"/>
                <c:lvl>
                  <c:pt idx="0">
                    <c:v>Aumento da eficiência de uso da água na produção industrial</c:v>
                  </c:pt>
                  <c:pt idx="1">
                    <c:v>Aumento da eficiência de uso da água na produção agrícola</c:v>
                  </c:pt>
                  <c:pt idx="2">
                    <c:v>Aumento da eficiência de uso da água na mineração</c:v>
                  </c:pt>
                  <c:pt idx="3">
                    <c:v>Implementação de um sistema de monitoramento das alterações hidrodinâmicas dos aquíferos</c:v>
                  </c:pt>
                  <c:pt idx="4">
                    <c:v>Recuperação de áreas degradadas e controle de processos erosivos</c:v>
                  </c:pt>
                  <c:pt idx="5">
                    <c:v>Recuperação e gerenciamento de áreas contaminadas</c:v>
                  </c:pt>
                  <c:pt idx="6">
                    <c:v>Fiscalização ambiental preventiva</c:v>
                  </c:pt>
                  <c:pt idx="7">
                    <c:v>Certificação e reconhecimento por boas práticas ambientais</c:v>
                  </c:pt>
                </c:lvl>
                <c:lvl>
                  <c:pt idx="0">
                    <c:v>2.1.1</c:v>
                  </c:pt>
                  <c:pt idx="1">
                    <c:v>2.1.2</c:v>
                  </c:pt>
                  <c:pt idx="2">
                    <c:v>2.1.3</c:v>
                  </c:pt>
                  <c:pt idx="3">
                    <c:v>2.1.4</c:v>
                  </c:pt>
                  <c:pt idx="4">
                    <c:v>2.2.1</c:v>
                  </c:pt>
                  <c:pt idx="5">
                    <c:v>2.2.2</c:v>
                  </c:pt>
                  <c:pt idx="6">
                    <c:v>2.3.1</c:v>
                  </c:pt>
                  <c:pt idx="7">
                    <c:v>2.3.2</c:v>
                  </c:pt>
                </c:lvl>
              </c:multiLvlStrCache>
            </c:multiLvlStrRef>
          </c:cat>
          <c:val>
            <c:numRef>
              <c:f>Ações!$C$6:$C$13</c:f>
              <c:numCache>
                <c:formatCode>#,##0</c:formatCode>
                <c:ptCount val="8"/>
                <c:pt idx="0">
                  <c:v>140000</c:v>
                </c:pt>
                <c:pt idx="1">
                  <c:v>140000</c:v>
                </c:pt>
                <c:pt idx="2">
                  <c:v>140000</c:v>
                </c:pt>
                <c:pt idx="3">
                  <c:v>160000</c:v>
                </c:pt>
                <c:pt idx="4">
                  <c:v>260000</c:v>
                </c:pt>
                <c:pt idx="5">
                  <c:v>380000</c:v>
                </c:pt>
                <c:pt idx="6">
                  <c:v>160000</c:v>
                </c:pt>
                <c:pt idx="7">
                  <c:v>220000</c:v>
                </c:pt>
              </c:numCache>
            </c:numRef>
          </c:val>
          <c:extLst>
            <c:ext xmlns:c16="http://schemas.microsoft.com/office/drawing/2014/chart" uri="{C3380CC4-5D6E-409C-BE32-E72D297353CC}">
              <c16:uniqueId val="{00000000-D9AD-4074-BDFD-EFE2D5276179}"/>
            </c:ext>
          </c:extLst>
        </c:ser>
        <c:ser>
          <c:idx val="1"/>
          <c:order val="1"/>
          <c:tx>
            <c:strRef>
              <c:f>Ações!$D$1</c:f>
              <c:strCache>
                <c:ptCount val="1"/>
                <c:pt idx="0">
                  <c:v>Estudos/ projetos (R$)</c:v>
                </c:pt>
              </c:strCache>
            </c:strRef>
          </c:tx>
          <c:spPr>
            <a:solidFill>
              <a:schemeClr val="accent2"/>
            </a:solidFill>
            <a:ln>
              <a:noFill/>
            </a:ln>
            <a:effectLst/>
          </c:spPr>
          <c:invertIfNegative val="0"/>
          <c:cat>
            <c:multiLvlStrRef>
              <c:f>Ações!$A$6:$B$13</c:f>
              <c:multiLvlStrCache>
                <c:ptCount val="8"/>
                <c:lvl>
                  <c:pt idx="0">
                    <c:v>Aumento da eficiência de uso da água na produção industrial</c:v>
                  </c:pt>
                  <c:pt idx="1">
                    <c:v>Aumento da eficiência de uso da água na produção agrícola</c:v>
                  </c:pt>
                  <c:pt idx="2">
                    <c:v>Aumento da eficiência de uso da água na mineração</c:v>
                  </c:pt>
                  <c:pt idx="3">
                    <c:v>Implementação de um sistema de monitoramento das alterações hidrodinâmicas dos aquíferos</c:v>
                  </c:pt>
                  <c:pt idx="4">
                    <c:v>Recuperação de áreas degradadas e controle de processos erosivos</c:v>
                  </c:pt>
                  <c:pt idx="5">
                    <c:v>Recuperação e gerenciamento de áreas contaminadas</c:v>
                  </c:pt>
                  <c:pt idx="6">
                    <c:v>Fiscalização ambiental preventiva</c:v>
                  </c:pt>
                  <c:pt idx="7">
                    <c:v>Certificação e reconhecimento por boas práticas ambientais</c:v>
                  </c:pt>
                </c:lvl>
                <c:lvl>
                  <c:pt idx="0">
                    <c:v>2.1.1</c:v>
                  </c:pt>
                  <c:pt idx="1">
                    <c:v>2.1.2</c:v>
                  </c:pt>
                  <c:pt idx="2">
                    <c:v>2.1.3</c:v>
                  </c:pt>
                  <c:pt idx="3">
                    <c:v>2.1.4</c:v>
                  </c:pt>
                  <c:pt idx="4">
                    <c:v>2.2.1</c:v>
                  </c:pt>
                  <c:pt idx="5">
                    <c:v>2.2.2</c:v>
                  </c:pt>
                  <c:pt idx="6">
                    <c:v>2.3.1</c:v>
                  </c:pt>
                  <c:pt idx="7">
                    <c:v>2.3.2</c:v>
                  </c:pt>
                </c:lvl>
              </c:multiLvlStrCache>
            </c:multiLvlStrRef>
          </c:cat>
          <c:val>
            <c:numRef>
              <c:f>Ações!$D$6:$D$13</c:f>
              <c:numCache>
                <c:formatCode>#,##0</c:formatCode>
                <c:ptCount val="8"/>
                <c:pt idx="0">
                  <c:v>593876</c:v>
                </c:pt>
                <c:pt idx="1">
                  <c:v>593876</c:v>
                </c:pt>
                <c:pt idx="2">
                  <c:v>593876</c:v>
                </c:pt>
                <c:pt idx="3">
                  <c:v>1188134</c:v>
                </c:pt>
              </c:numCache>
            </c:numRef>
          </c:val>
          <c:extLst>
            <c:ext xmlns:c16="http://schemas.microsoft.com/office/drawing/2014/chart" uri="{C3380CC4-5D6E-409C-BE32-E72D297353CC}">
              <c16:uniqueId val="{00000001-D9AD-4074-BDFD-EFE2D5276179}"/>
            </c:ext>
          </c:extLst>
        </c:ser>
        <c:ser>
          <c:idx val="2"/>
          <c:order val="2"/>
          <c:tx>
            <c:strRef>
              <c:f>Ações!$E$1</c:f>
              <c:strCache>
                <c:ptCount val="1"/>
                <c:pt idx="0">
                  <c:v>Obras (R$)</c:v>
                </c:pt>
              </c:strCache>
            </c:strRef>
          </c:tx>
          <c:spPr>
            <a:solidFill>
              <a:schemeClr val="accent3"/>
            </a:solidFill>
            <a:ln>
              <a:noFill/>
            </a:ln>
            <a:effectLst/>
          </c:spPr>
          <c:invertIfNegative val="0"/>
          <c:cat>
            <c:multiLvlStrRef>
              <c:f>Ações!$A$6:$B$13</c:f>
              <c:multiLvlStrCache>
                <c:ptCount val="8"/>
                <c:lvl>
                  <c:pt idx="0">
                    <c:v>Aumento da eficiência de uso da água na produção industrial</c:v>
                  </c:pt>
                  <c:pt idx="1">
                    <c:v>Aumento da eficiência de uso da água na produção agrícola</c:v>
                  </c:pt>
                  <c:pt idx="2">
                    <c:v>Aumento da eficiência de uso da água na mineração</c:v>
                  </c:pt>
                  <c:pt idx="3">
                    <c:v>Implementação de um sistema de monitoramento das alterações hidrodinâmicas dos aquíferos</c:v>
                  </c:pt>
                  <c:pt idx="4">
                    <c:v>Recuperação de áreas degradadas e controle de processos erosivos</c:v>
                  </c:pt>
                  <c:pt idx="5">
                    <c:v>Recuperação e gerenciamento de áreas contaminadas</c:v>
                  </c:pt>
                  <c:pt idx="6">
                    <c:v>Fiscalização ambiental preventiva</c:v>
                  </c:pt>
                  <c:pt idx="7">
                    <c:v>Certificação e reconhecimento por boas práticas ambientais</c:v>
                  </c:pt>
                </c:lvl>
                <c:lvl>
                  <c:pt idx="0">
                    <c:v>2.1.1</c:v>
                  </c:pt>
                  <c:pt idx="1">
                    <c:v>2.1.2</c:v>
                  </c:pt>
                  <c:pt idx="2">
                    <c:v>2.1.3</c:v>
                  </c:pt>
                  <c:pt idx="3">
                    <c:v>2.1.4</c:v>
                  </c:pt>
                  <c:pt idx="4">
                    <c:v>2.2.1</c:v>
                  </c:pt>
                  <c:pt idx="5">
                    <c:v>2.2.2</c:v>
                  </c:pt>
                  <c:pt idx="6">
                    <c:v>2.3.1</c:v>
                  </c:pt>
                  <c:pt idx="7">
                    <c:v>2.3.2</c:v>
                  </c:pt>
                </c:lvl>
              </c:multiLvlStrCache>
            </c:multiLvlStrRef>
          </c:cat>
          <c:val>
            <c:numRef>
              <c:f>Ações!$E$6:$E$13</c:f>
              <c:numCache>
                <c:formatCode>#,##0</c:formatCode>
                <c:ptCount val="8"/>
              </c:numCache>
            </c:numRef>
          </c:val>
          <c:extLst>
            <c:ext xmlns:c16="http://schemas.microsoft.com/office/drawing/2014/chart" uri="{C3380CC4-5D6E-409C-BE32-E72D297353CC}">
              <c16:uniqueId val="{00000002-D9AD-4074-BDFD-EFE2D5276179}"/>
            </c:ext>
          </c:extLst>
        </c:ser>
        <c:dLbls>
          <c:showLegendKey val="0"/>
          <c:showVal val="0"/>
          <c:showCatName val="0"/>
          <c:showSerName val="0"/>
          <c:showPercent val="0"/>
          <c:showBubbleSize val="0"/>
        </c:dLbls>
        <c:gapWidth val="150"/>
        <c:overlap val="100"/>
        <c:axId val="1871378384"/>
        <c:axId val="507089792"/>
      </c:barChart>
      <c:catAx>
        <c:axId val="1871378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07089792"/>
        <c:crosses val="autoZero"/>
        <c:auto val="1"/>
        <c:lblAlgn val="ctr"/>
        <c:lblOffset val="100"/>
        <c:noMultiLvlLbl val="0"/>
      </c:catAx>
      <c:valAx>
        <c:axId val="507089792"/>
        <c:scaling>
          <c:orientation val="minMax"/>
          <c:max val="140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871378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Ações!$C$1</c:f>
              <c:strCache>
                <c:ptCount val="1"/>
                <c:pt idx="0">
                  <c:v>Gestão (R$)</c:v>
                </c:pt>
              </c:strCache>
            </c:strRef>
          </c:tx>
          <c:spPr>
            <a:solidFill>
              <a:schemeClr val="accent1"/>
            </a:solidFill>
            <a:ln>
              <a:noFill/>
            </a:ln>
            <a:effectLst/>
          </c:spPr>
          <c:invertIfNegative val="0"/>
          <c:cat>
            <c:multiLvlStrRef>
              <c:f>Ações!$A$14:$B$24</c:f>
              <c:multiLvlStrCache>
                <c:ptCount val="11"/>
                <c:lvl>
                  <c:pt idx="0">
                    <c:v>Elaboração de estudo de alternativas para a ampliação e diversificação das reservas hídricas</c:v>
                  </c:pt>
                  <c:pt idx="1">
                    <c:v>Elaboração de estudo de viabilidade técnica, econômica, sanitária e ambiental da recarga artificial de aquíferos</c:v>
                  </c:pt>
                  <c:pt idx="2">
                    <c:v>Desenvolvimento de sistema de gestão de riscos de desabastecimento da RMBH</c:v>
                  </c:pt>
                  <c:pt idx="3">
                    <c:v>Fomento a projetos e obras de ampliação dos sistemas de abastecimento de água</c:v>
                  </c:pt>
                  <c:pt idx="4">
                    <c:v>Apoio institucional aos operadores para implementação de Programa de Pagamento por Resultados na redução e controle de perdas</c:v>
                  </c:pt>
                  <c:pt idx="5">
                    <c:v>Implementação do Programa de Pagamento por Resultados na redução e controle de perdas</c:v>
                  </c:pt>
                  <c:pt idx="6">
                    <c:v>Elaboração e revisão dos Planos Municipais de Saneamento Básico</c:v>
                  </c:pt>
                  <c:pt idx="7">
                    <c:v>Fomento a projetos e obras de ampliação da coleta e tratamento de esgotos</c:v>
                  </c:pt>
                  <c:pt idx="8">
                    <c:v>Elaboração de estudo de viabilidade econômico-financeira e de impacto ambiental da desinfecção de efluentes das ETEs</c:v>
                  </c:pt>
                  <c:pt idx="9">
                    <c:v>Fomento ao encerramento e recuperação das áreas degradadas por lixões e aterros controlados</c:v>
                  </c:pt>
                  <c:pt idx="10">
                    <c:v>Fomento a ampliação da coleta de resíduos sólidos e ações de limpeza urbana</c:v>
                  </c:pt>
                </c:lvl>
                <c:lvl>
                  <c:pt idx="0">
                    <c:v>3.1.1</c:v>
                  </c:pt>
                  <c:pt idx="1">
                    <c:v>3.1.2</c:v>
                  </c:pt>
                  <c:pt idx="2">
                    <c:v>3.1.3</c:v>
                  </c:pt>
                  <c:pt idx="3">
                    <c:v>3.1.4</c:v>
                  </c:pt>
                  <c:pt idx="4">
                    <c:v>3.2.1</c:v>
                  </c:pt>
                  <c:pt idx="5">
                    <c:v>3.2.2</c:v>
                  </c:pt>
                  <c:pt idx="6">
                    <c:v>3.3.1</c:v>
                  </c:pt>
                  <c:pt idx="7">
                    <c:v>3.3.2</c:v>
                  </c:pt>
                  <c:pt idx="8">
                    <c:v>3.3.3</c:v>
                  </c:pt>
                  <c:pt idx="9">
                    <c:v>3.4.1</c:v>
                  </c:pt>
                  <c:pt idx="10">
                    <c:v>3.4.2</c:v>
                  </c:pt>
                </c:lvl>
              </c:multiLvlStrCache>
            </c:multiLvlStrRef>
          </c:cat>
          <c:val>
            <c:numRef>
              <c:f>Ações!$C$14:$C$24</c:f>
              <c:numCache>
                <c:formatCode>#,##0</c:formatCode>
                <c:ptCount val="11"/>
                <c:pt idx="0">
                  <c:v>50000</c:v>
                </c:pt>
                <c:pt idx="1">
                  <c:v>50000</c:v>
                </c:pt>
                <c:pt idx="2">
                  <c:v>50000</c:v>
                </c:pt>
                <c:pt idx="4">
                  <c:v>7597364</c:v>
                </c:pt>
                <c:pt idx="5">
                  <c:v>3798681.89</c:v>
                </c:pt>
                <c:pt idx="6">
                  <c:v>50000</c:v>
                </c:pt>
                <c:pt idx="8">
                  <c:v>50000</c:v>
                </c:pt>
                <c:pt idx="9">
                  <c:v>280000</c:v>
                </c:pt>
                <c:pt idx="10">
                  <c:v>260000</c:v>
                </c:pt>
              </c:numCache>
            </c:numRef>
          </c:val>
          <c:extLst>
            <c:ext xmlns:c16="http://schemas.microsoft.com/office/drawing/2014/chart" uri="{C3380CC4-5D6E-409C-BE32-E72D297353CC}">
              <c16:uniqueId val="{00000000-8D0F-4F23-B5A1-0B8C2BB67257}"/>
            </c:ext>
          </c:extLst>
        </c:ser>
        <c:ser>
          <c:idx val="1"/>
          <c:order val="1"/>
          <c:tx>
            <c:strRef>
              <c:f>Ações!$D$1</c:f>
              <c:strCache>
                <c:ptCount val="1"/>
                <c:pt idx="0">
                  <c:v>Estudos/ projetos (R$)</c:v>
                </c:pt>
              </c:strCache>
            </c:strRef>
          </c:tx>
          <c:spPr>
            <a:solidFill>
              <a:schemeClr val="accent2"/>
            </a:solidFill>
            <a:ln>
              <a:noFill/>
            </a:ln>
            <a:effectLst/>
          </c:spPr>
          <c:invertIfNegative val="0"/>
          <c:cat>
            <c:multiLvlStrRef>
              <c:f>Ações!$A$14:$B$24</c:f>
              <c:multiLvlStrCache>
                <c:ptCount val="11"/>
                <c:lvl>
                  <c:pt idx="0">
                    <c:v>Elaboração de estudo de alternativas para a ampliação e diversificação das reservas hídricas</c:v>
                  </c:pt>
                  <c:pt idx="1">
                    <c:v>Elaboração de estudo de viabilidade técnica, econômica, sanitária e ambiental da recarga artificial de aquíferos</c:v>
                  </c:pt>
                  <c:pt idx="2">
                    <c:v>Desenvolvimento de sistema de gestão de riscos de desabastecimento da RMBH</c:v>
                  </c:pt>
                  <c:pt idx="3">
                    <c:v>Fomento a projetos e obras de ampliação dos sistemas de abastecimento de água</c:v>
                  </c:pt>
                  <c:pt idx="4">
                    <c:v>Apoio institucional aos operadores para implementação de Programa de Pagamento por Resultados na redução e controle de perdas</c:v>
                  </c:pt>
                  <c:pt idx="5">
                    <c:v>Implementação do Programa de Pagamento por Resultados na redução e controle de perdas</c:v>
                  </c:pt>
                  <c:pt idx="6">
                    <c:v>Elaboração e revisão dos Planos Municipais de Saneamento Básico</c:v>
                  </c:pt>
                  <c:pt idx="7">
                    <c:v>Fomento a projetos e obras de ampliação da coleta e tratamento de esgotos</c:v>
                  </c:pt>
                  <c:pt idx="8">
                    <c:v>Elaboração de estudo de viabilidade econômico-financeira e de impacto ambiental da desinfecção de efluentes das ETEs</c:v>
                  </c:pt>
                  <c:pt idx="9">
                    <c:v>Fomento ao encerramento e recuperação das áreas degradadas por lixões e aterros controlados</c:v>
                  </c:pt>
                  <c:pt idx="10">
                    <c:v>Fomento a ampliação da coleta de resíduos sólidos e ações de limpeza urbana</c:v>
                  </c:pt>
                </c:lvl>
                <c:lvl>
                  <c:pt idx="0">
                    <c:v>3.1.1</c:v>
                  </c:pt>
                  <c:pt idx="1">
                    <c:v>3.1.2</c:v>
                  </c:pt>
                  <c:pt idx="2">
                    <c:v>3.1.3</c:v>
                  </c:pt>
                  <c:pt idx="3">
                    <c:v>3.1.4</c:v>
                  </c:pt>
                  <c:pt idx="4">
                    <c:v>3.2.1</c:v>
                  </c:pt>
                  <c:pt idx="5">
                    <c:v>3.2.2</c:v>
                  </c:pt>
                  <c:pt idx="6">
                    <c:v>3.3.1</c:v>
                  </c:pt>
                  <c:pt idx="7">
                    <c:v>3.3.2</c:v>
                  </c:pt>
                  <c:pt idx="8">
                    <c:v>3.3.3</c:v>
                  </c:pt>
                  <c:pt idx="9">
                    <c:v>3.4.1</c:v>
                  </c:pt>
                  <c:pt idx="10">
                    <c:v>3.4.2</c:v>
                  </c:pt>
                </c:lvl>
              </c:multiLvlStrCache>
            </c:multiLvlStrRef>
          </c:cat>
          <c:val>
            <c:numRef>
              <c:f>Ações!$D$14:$D$24</c:f>
              <c:numCache>
                <c:formatCode>#,##0</c:formatCode>
                <c:ptCount val="11"/>
                <c:pt idx="0">
                  <c:v>2752486</c:v>
                </c:pt>
                <c:pt idx="1">
                  <c:v>1285169</c:v>
                </c:pt>
                <c:pt idx="2">
                  <c:v>3107460</c:v>
                </c:pt>
                <c:pt idx="3">
                  <c:v>36435135.899999999</c:v>
                </c:pt>
                <c:pt idx="5">
                  <c:v>15194727.560000001</c:v>
                </c:pt>
                <c:pt idx="6">
                  <c:v>5500000</c:v>
                </c:pt>
                <c:pt idx="7">
                  <c:v>89292756</c:v>
                </c:pt>
                <c:pt idx="8">
                  <c:v>1568350</c:v>
                </c:pt>
              </c:numCache>
            </c:numRef>
          </c:val>
          <c:extLst>
            <c:ext xmlns:c16="http://schemas.microsoft.com/office/drawing/2014/chart" uri="{C3380CC4-5D6E-409C-BE32-E72D297353CC}">
              <c16:uniqueId val="{00000001-8D0F-4F23-B5A1-0B8C2BB67257}"/>
            </c:ext>
          </c:extLst>
        </c:ser>
        <c:ser>
          <c:idx val="2"/>
          <c:order val="2"/>
          <c:tx>
            <c:strRef>
              <c:f>Ações!$E$1</c:f>
              <c:strCache>
                <c:ptCount val="1"/>
                <c:pt idx="0">
                  <c:v>Obras (R$)</c:v>
                </c:pt>
              </c:strCache>
            </c:strRef>
          </c:tx>
          <c:spPr>
            <a:solidFill>
              <a:schemeClr val="accent3"/>
            </a:solidFill>
            <a:ln>
              <a:noFill/>
            </a:ln>
            <a:effectLst/>
          </c:spPr>
          <c:invertIfNegative val="0"/>
          <c:cat>
            <c:multiLvlStrRef>
              <c:f>Ações!$A$14:$B$24</c:f>
              <c:multiLvlStrCache>
                <c:ptCount val="11"/>
                <c:lvl>
                  <c:pt idx="0">
                    <c:v>Elaboração de estudo de alternativas para a ampliação e diversificação das reservas hídricas</c:v>
                  </c:pt>
                  <c:pt idx="1">
                    <c:v>Elaboração de estudo de viabilidade técnica, econômica, sanitária e ambiental da recarga artificial de aquíferos</c:v>
                  </c:pt>
                  <c:pt idx="2">
                    <c:v>Desenvolvimento de sistema de gestão de riscos de desabastecimento da RMBH</c:v>
                  </c:pt>
                  <c:pt idx="3">
                    <c:v>Fomento a projetos e obras de ampliação dos sistemas de abastecimento de água</c:v>
                  </c:pt>
                  <c:pt idx="4">
                    <c:v>Apoio institucional aos operadores para implementação de Programa de Pagamento por Resultados na redução e controle de perdas</c:v>
                  </c:pt>
                  <c:pt idx="5">
                    <c:v>Implementação do Programa de Pagamento por Resultados na redução e controle de perdas</c:v>
                  </c:pt>
                  <c:pt idx="6">
                    <c:v>Elaboração e revisão dos Planos Municipais de Saneamento Básico</c:v>
                  </c:pt>
                  <c:pt idx="7">
                    <c:v>Fomento a projetos e obras de ampliação da coleta e tratamento de esgotos</c:v>
                  </c:pt>
                  <c:pt idx="8">
                    <c:v>Elaboração de estudo de viabilidade econômico-financeira e de impacto ambiental da desinfecção de efluentes das ETEs</c:v>
                  </c:pt>
                  <c:pt idx="9">
                    <c:v>Fomento ao encerramento e recuperação das áreas degradadas por lixões e aterros controlados</c:v>
                  </c:pt>
                  <c:pt idx="10">
                    <c:v>Fomento a ampliação da coleta de resíduos sólidos e ações de limpeza urbana</c:v>
                  </c:pt>
                </c:lvl>
                <c:lvl>
                  <c:pt idx="0">
                    <c:v>3.1.1</c:v>
                  </c:pt>
                  <c:pt idx="1">
                    <c:v>3.1.2</c:v>
                  </c:pt>
                  <c:pt idx="2">
                    <c:v>3.1.3</c:v>
                  </c:pt>
                  <c:pt idx="3">
                    <c:v>3.1.4</c:v>
                  </c:pt>
                  <c:pt idx="4">
                    <c:v>3.2.1</c:v>
                  </c:pt>
                  <c:pt idx="5">
                    <c:v>3.2.2</c:v>
                  </c:pt>
                  <c:pt idx="6">
                    <c:v>3.3.1</c:v>
                  </c:pt>
                  <c:pt idx="7">
                    <c:v>3.3.2</c:v>
                  </c:pt>
                  <c:pt idx="8">
                    <c:v>3.3.3</c:v>
                  </c:pt>
                  <c:pt idx="9">
                    <c:v>3.4.1</c:v>
                  </c:pt>
                  <c:pt idx="10">
                    <c:v>3.4.2</c:v>
                  </c:pt>
                </c:lvl>
              </c:multiLvlStrCache>
            </c:multiLvlStrRef>
          </c:cat>
          <c:val>
            <c:numRef>
              <c:f>Ações!$E$14:$E$24</c:f>
              <c:numCache>
                <c:formatCode>#,##0</c:formatCode>
                <c:ptCount val="11"/>
                <c:pt idx="3">
                  <c:v>1637916223.0999999</c:v>
                </c:pt>
                <c:pt idx="5">
                  <c:v>360874779.55000001</c:v>
                </c:pt>
                <c:pt idx="7">
                  <c:v>2176855113</c:v>
                </c:pt>
              </c:numCache>
            </c:numRef>
          </c:val>
          <c:extLst>
            <c:ext xmlns:c16="http://schemas.microsoft.com/office/drawing/2014/chart" uri="{C3380CC4-5D6E-409C-BE32-E72D297353CC}">
              <c16:uniqueId val="{00000002-8D0F-4F23-B5A1-0B8C2BB67257}"/>
            </c:ext>
          </c:extLst>
        </c:ser>
        <c:dLbls>
          <c:showLegendKey val="0"/>
          <c:showVal val="0"/>
          <c:showCatName val="0"/>
          <c:showSerName val="0"/>
          <c:showPercent val="0"/>
          <c:showBubbleSize val="0"/>
        </c:dLbls>
        <c:gapWidth val="150"/>
        <c:overlap val="100"/>
        <c:axId val="1871378384"/>
        <c:axId val="507089792"/>
      </c:barChart>
      <c:catAx>
        <c:axId val="1871378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07089792"/>
        <c:crosses val="autoZero"/>
        <c:auto val="1"/>
        <c:lblAlgn val="ctr"/>
        <c:lblOffset val="100"/>
        <c:noMultiLvlLbl val="0"/>
      </c:catAx>
      <c:valAx>
        <c:axId val="5070897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871378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Ações!$C$1</c:f>
              <c:strCache>
                <c:ptCount val="1"/>
                <c:pt idx="0">
                  <c:v>Gestão (R$)</c:v>
                </c:pt>
              </c:strCache>
            </c:strRef>
          </c:tx>
          <c:spPr>
            <a:solidFill>
              <a:schemeClr val="accent1"/>
            </a:solidFill>
            <a:ln>
              <a:noFill/>
            </a:ln>
            <a:effectLst/>
          </c:spPr>
          <c:invertIfNegative val="0"/>
          <c:cat>
            <c:multiLvlStrRef>
              <c:f>Ações!$A$25:$B$36</c:f>
              <c:multiLvlStrCache>
                <c:ptCount val="12"/>
                <c:lvl>
                  <c:pt idx="0">
                    <c:v>Mapeamento de áreas de risco de desastres e fomento a elaboração dos Planos Municipais de Redução de Risco</c:v>
                  </c:pt>
                  <c:pt idx="1">
                    <c:v>Conscientização sobre os riscos e preparação para enfrentamento de desastres</c:v>
                  </c:pt>
                  <c:pt idx="2">
                    <c:v>Fortalecimento da Defesa Civil e elaboração dos Planos de Contingência</c:v>
                  </c:pt>
                  <c:pt idx="3">
                    <c:v>Desenvolvimento de um sistema de previsão e alerta contra eventos extremos</c:v>
                  </c:pt>
                  <c:pt idx="4">
                    <c:v>Desenvolvimento de pesquisas sobre as mudanças climáticas e suas implicações econômicas, sociais e ambientais na RMBH</c:v>
                  </c:pt>
                  <c:pt idx="5">
                    <c:v>Capacitação dos municípios em manejo sustentável de águas pluviais</c:v>
                  </c:pt>
                  <c:pt idx="6">
                    <c:v>Elaboração e revisão dos Planos Diretores de Drenagem Urbana</c:v>
                  </c:pt>
                  <c:pt idx="7">
                    <c:v>Fomento a projetos e obras de implantação e adequação dos sistemas de macrodrenagem municipais</c:v>
                  </c:pt>
                  <c:pt idx="8">
                    <c:v>Elaboração do Plano Diretor de Macrodrenagem do Alto Rio das Velhas</c:v>
                  </c:pt>
                  <c:pt idx="9">
                    <c:v>Regularização das barragens de rejeito</c:v>
                  </c:pt>
                  <c:pt idx="10">
                    <c:v>Desenvolvimento de sistema de gerenciamento de informações relativas aos planos de segurança das barragens</c:v>
                  </c:pt>
                  <c:pt idx="11">
                    <c:v>Controle das inspeções periódicas e revisões do nível de segurança das barragens</c:v>
                  </c:pt>
                </c:lvl>
                <c:lvl>
                  <c:pt idx="0">
                    <c:v>4.1.1</c:v>
                  </c:pt>
                  <c:pt idx="1">
                    <c:v>4.1.2</c:v>
                  </c:pt>
                  <c:pt idx="2">
                    <c:v>4.1.3</c:v>
                  </c:pt>
                  <c:pt idx="3">
                    <c:v>4.1.4</c:v>
                  </c:pt>
                  <c:pt idx="4">
                    <c:v>4.1.5</c:v>
                  </c:pt>
                  <c:pt idx="5">
                    <c:v>4.2.1</c:v>
                  </c:pt>
                  <c:pt idx="6">
                    <c:v>4.2.2</c:v>
                  </c:pt>
                  <c:pt idx="7">
                    <c:v>4.2.3</c:v>
                  </c:pt>
                  <c:pt idx="8">
                    <c:v>4.2.4</c:v>
                  </c:pt>
                  <c:pt idx="9">
                    <c:v>4.3.1</c:v>
                  </c:pt>
                  <c:pt idx="10">
                    <c:v>4.3.2</c:v>
                  </c:pt>
                  <c:pt idx="11">
                    <c:v>4.3.3</c:v>
                  </c:pt>
                </c:lvl>
              </c:multiLvlStrCache>
            </c:multiLvlStrRef>
          </c:cat>
          <c:val>
            <c:numRef>
              <c:f>Ações!$C$25:$C$36</c:f>
              <c:numCache>
                <c:formatCode>#,##0</c:formatCode>
                <c:ptCount val="12"/>
                <c:pt idx="0">
                  <c:v>50000</c:v>
                </c:pt>
                <c:pt idx="1">
                  <c:v>12760000</c:v>
                </c:pt>
                <c:pt idx="2">
                  <c:v>880000</c:v>
                </c:pt>
                <c:pt idx="3">
                  <c:v>677805</c:v>
                </c:pt>
                <c:pt idx="4">
                  <c:v>50000</c:v>
                </c:pt>
                <c:pt idx="5">
                  <c:v>230000</c:v>
                </c:pt>
                <c:pt idx="6">
                  <c:v>50000</c:v>
                </c:pt>
                <c:pt idx="8">
                  <c:v>50000</c:v>
                </c:pt>
                <c:pt idx="9">
                  <c:v>315000</c:v>
                </c:pt>
                <c:pt idx="11">
                  <c:v>175000</c:v>
                </c:pt>
              </c:numCache>
            </c:numRef>
          </c:val>
          <c:extLst>
            <c:ext xmlns:c16="http://schemas.microsoft.com/office/drawing/2014/chart" uri="{C3380CC4-5D6E-409C-BE32-E72D297353CC}">
              <c16:uniqueId val="{00000000-6ACA-4A6D-9D98-94B8EA05D026}"/>
            </c:ext>
          </c:extLst>
        </c:ser>
        <c:ser>
          <c:idx val="1"/>
          <c:order val="1"/>
          <c:tx>
            <c:strRef>
              <c:f>Ações!$D$1</c:f>
              <c:strCache>
                <c:ptCount val="1"/>
                <c:pt idx="0">
                  <c:v>Estudos/ projetos (R$)</c:v>
                </c:pt>
              </c:strCache>
            </c:strRef>
          </c:tx>
          <c:spPr>
            <a:solidFill>
              <a:schemeClr val="accent2"/>
            </a:solidFill>
            <a:ln>
              <a:noFill/>
            </a:ln>
            <a:effectLst/>
          </c:spPr>
          <c:invertIfNegative val="0"/>
          <c:cat>
            <c:multiLvlStrRef>
              <c:f>Ações!$A$25:$B$36</c:f>
              <c:multiLvlStrCache>
                <c:ptCount val="12"/>
                <c:lvl>
                  <c:pt idx="0">
                    <c:v>Mapeamento de áreas de risco de desastres e fomento a elaboração dos Planos Municipais de Redução de Risco</c:v>
                  </c:pt>
                  <c:pt idx="1">
                    <c:v>Conscientização sobre os riscos e preparação para enfrentamento de desastres</c:v>
                  </c:pt>
                  <c:pt idx="2">
                    <c:v>Fortalecimento da Defesa Civil e elaboração dos Planos de Contingência</c:v>
                  </c:pt>
                  <c:pt idx="3">
                    <c:v>Desenvolvimento de um sistema de previsão e alerta contra eventos extremos</c:v>
                  </c:pt>
                  <c:pt idx="4">
                    <c:v>Desenvolvimento de pesquisas sobre as mudanças climáticas e suas implicações econômicas, sociais e ambientais na RMBH</c:v>
                  </c:pt>
                  <c:pt idx="5">
                    <c:v>Capacitação dos municípios em manejo sustentável de águas pluviais</c:v>
                  </c:pt>
                  <c:pt idx="6">
                    <c:v>Elaboração e revisão dos Planos Diretores de Drenagem Urbana</c:v>
                  </c:pt>
                  <c:pt idx="7">
                    <c:v>Fomento a projetos e obras de implantação e adequação dos sistemas de macrodrenagem municipais</c:v>
                  </c:pt>
                  <c:pt idx="8">
                    <c:v>Elaboração do Plano Diretor de Macrodrenagem do Alto Rio das Velhas</c:v>
                  </c:pt>
                  <c:pt idx="9">
                    <c:v>Regularização das barragens de rejeito</c:v>
                  </c:pt>
                  <c:pt idx="10">
                    <c:v>Desenvolvimento de sistema de gerenciamento de informações relativas aos planos de segurança das barragens</c:v>
                  </c:pt>
                  <c:pt idx="11">
                    <c:v>Controle das inspeções periódicas e revisões do nível de segurança das barragens</c:v>
                  </c:pt>
                </c:lvl>
                <c:lvl>
                  <c:pt idx="0">
                    <c:v>4.1.1</c:v>
                  </c:pt>
                  <c:pt idx="1">
                    <c:v>4.1.2</c:v>
                  </c:pt>
                  <c:pt idx="2">
                    <c:v>4.1.3</c:v>
                  </c:pt>
                  <c:pt idx="3">
                    <c:v>4.1.4</c:v>
                  </c:pt>
                  <c:pt idx="4">
                    <c:v>4.1.5</c:v>
                  </c:pt>
                  <c:pt idx="5">
                    <c:v>4.2.1</c:v>
                  </c:pt>
                  <c:pt idx="6">
                    <c:v>4.2.2</c:v>
                  </c:pt>
                  <c:pt idx="7">
                    <c:v>4.2.3</c:v>
                  </c:pt>
                  <c:pt idx="8">
                    <c:v>4.2.4</c:v>
                  </c:pt>
                  <c:pt idx="9">
                    <c:v>4.3.1</c:v>
                  </c:pt>
                  <c:pt idx="10">
                    <c:v>4.3.2</c:v>
                  </c:pt>
                  <c:pt idx="11">
                    <c:v>4.3.3</c:v>
                  </c:pt>
                </c:lvl>
              </c:multiLvlStrCache>
            </c:multiLvlStrRef>
          </c:cat>
          <c:val>
            <c:numRef>
              <c:f>Ações!$D$25:$D$36</c:f>
              <c:numCache>
                <c:formatCode>#,##0</c:formatCode>
                <c:ptCount val="12"/>
                <c:pt idx="0">
                  <c:v>12320000</c:v>
                </c:pt>
                <c:pt idx="2">
                  <c:v>4400000</c:v>
                </c:pt>
                <c:pt idx="3">
                  <c:v>2295117</c:v>
                </c:pt>
                <c:pt idx="4">
                  <c:v>3000000</c:v>
                </c:pt>
                <c:pt idx="6">
                  <c:v>8960000</c:v>
                </c:pt>
                <c:pt idx="8">
                  <c:v>1926352</c:v>
                </c:pt>
                <c:pt idx="10">
                  <c:v>1200000</c:v>
                </c:pt>
              </c:numCache>
            </c:numRef>
          </c:val>
          <c:extLst>
            <c:ext xmlns:c16="http://schemas.microsoft.com/office/drawing/2014/chart" uri="{C3380CC4-5D6E-409C-BE32-E72D297353CC}">
              <c16:uniqueId val="{00000001-6ACA-4A6D-9D98-94B8EA05D026}"/>
            </c:ext>
          </c:extLst>
        </c:ser>
        <c:ser>
          <c:idx val="2"/>
          <c:order val="2"/>
          <c:tx>
            <c:strRef>
              <c:f>Ações!$E$1</c:f>
              <c:strCache>
                <c:ptCount val="1"/>
                <c:pt idx="0">
                  <c:v>Obras (R$)</c:v>
                </c:pt>
              </c:strCache>
            </c:strRef>
          </c:tx>
          <c:spPr>
            <a:solidFill>
              <a:schemeClr val="accent3"/>
            </a:solidFill>
            <a:ln>
              <a:noFill/>
            </a:ln>
            <a:effectLst/>
          </c:spPr>
          <c:invertIfNegative val="0"/>
          <c:cat>
            <c:multiLvlStrRef>
              <c:f>Ações!$A$25:$B$36</c:f>
              <c:multiLvlStrCache>
                <c:ptCount val="12"/>
                <c:lvl>
                  <c:pt idx="0">
                    <c:v>Mapeamento de áreas de risco de desastres e fomento a elaboração dos Planos Municipais de Redução de Risco</c:v>
                  </c:pt>
                  <c:pt idx="1">
                    <c:v>Conscientização sobre os riscos e preparação para enfrentamento de desastres</c:v>
                  </c:pt>
                  <c:pt idx="2">
                    <c:v>Fortalecimento da Defesa Civil e elaboração dos Planos de Contingência</c:v>
                  </c:pt>
                  <c:pt idx="3">
                    <c:v>Desenvolvimento de um sistema de previsão e alerta contra eventos extremos</c:v>
                  </c:pt>
                  <c:pt idx="4">
                    <c:v>Desenvolvimento de pesquisas sobre as mudanças climáticas e suas implicações econômicas, sociais e ambientais na RMBH</c:v>
                  </c:pt>
                  <c:pt idx="5">
                    <c:v>Capacitação dos municípios em manejo sustentável de águas pluviais</c:v>
                  </c:pt>
                  <c:pt idx="6">
                    <c:v>Elaboração e revisão dos Planos Diretores de Drenagem Urbana</c:v>
                  </c:pt>
                  <c:pt idx="7">
                    <c:v>Fomento a projetos e obras de implantação e adequação dos sistemas de macrodrenagem municipais</c:v>
                  </c:pt>
                  <c:pt idx="8">
                    <c:v>Elaboração do Plano Diretor de Macrodrenagem do Alto Rio das Velhas</c:v>
                  </c:pt>
                  <c:pt idx="9">
                    <c:v>Regularização das barragens de rejeito</c:v>
                  </c:pt>
                  <c:pt idx="10">
                    <c:v>Desenvolvimento de sistema de gerenciamento de informações relativas aos planos de segurança das barragens</c:v>
                  </c:pt>
                  <c:pt idx="11">
                    <c:v>Controle das inspeções periódicas e revisões do nível de segurança das barragens</c:v>
                  </c:pt>
                </c:lvl>
                <c:lvl>
                  <c:pt idx="0">
                    <c:v>4.1.1</c:v>
                  </c:pt>
                  <c:pt idx="1">
                    <c:v>4.1.2</c:v>
                  </c:pt>
                  <c:pt idx="2">
                    <c:v>4.1.3</c:v>
                  </c:pt>
                  <c:pt idx="3">
                    <c:v>4.1.4</c:v>
                  </c:pt>
                  <c:pt idx="4">
                    <c:v>4.1.5</c:v>
                  </c:pt>
                  <c:pt idx="5">
                    <c:v>4.2.1</c:v>
                  </c:pt>
                  <c:pt idx="6">
                    <c:v>4.2.2</c:v>
                  </c:pt>
                  <c:pt idx="7">
                    <c:v>4.2.3</c:v>
                  </c:pt>
                  <c:pt idx="8">
                    <c:v>4.2.4</c:v>
                  </c:pt>
                  <c:pt idx="9">
                    <c:v>4.3.1</c:v>
                  </c:pt>
                  <c:pt idx="10">
                    <c:v>4.3.2</c:v>
                  </c:pt>
                  <c:pt idx="11">
                    <c:v>4.3.3</c:v>
                  </c:pt>
                </c:lvl>
              </c:multiLvlStrCache>
            </c:multiLvlStrRef>
          </c:cat>
          <c:val>
            <c:numRef>
              <c:f>Ações!$E$25:$E$36</c:f>
              <c:numCache>
                <c:formatCode>#,##0</c:formatCode>
                <c:ptCount val="12"/>
                <c:pt idx="7">
                  <c:v>2260000000</c:v>
                </c:pt>
              </c:numCache>
            </c:numRef>
          </c:val>
          <c:extLst>
            <c:ext xmlns:c16="http://schemas.microsoft.com/office/drawing/2014/chart" uri="{C3380CC4-5D6E-409C-BE32-E72D297353CC}">
              <c16:uniqueId val="{00000002-6ACA-4A6D-9D98-94B8EA05D026}"/>
            </c:ext>
          </c:extLst>
        </c:ser>
        <c:dLbls>
          <c:showLegendKey val="0"/>
          <c:showVal val="0"/>
          <c:showCatName val="0"/>
          <c:showSerName val="0"/>
          <c:showPercent val="0"/>
          <c:showBubbleSize val="0"/>
        </c:dLbls>
        <c:gapWidth val="150"/>
        <c:overlap val="100"/>
        <c:axId val="1871378384"/>
        <c:axId val="507089792"/>
      </c:barChart>
      <c:catAx>
        <c:axId val="1871378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507089792"/>
        <c:crosses val="autoZero"/>
        <c:auto val="1"/>
        <c:lblAlgn val="ctr"/>
        <c:lblOffset val="100"/>
        <c:noMultiLvlLbl val="0"/>
      </c:catAx>
      <c:valAx>
        <c:axId val="50708979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871378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426720</xdr:colOff>
      <xdr:row>2</xdr:row>
      <xdr:rowOff>41910</xdr:rowOff>
    </xdr:from>
    <xdr:to>
      <xdr:col>15</xdr:col>
      <xdr:colOff>601980</xdr:colOff>
      <xdr:row>19</xdr:row>
      <xdr:rowOff>76200</xdr:rowOff>
    </xdr:to>
    <xdr:graphicFrame macro="">
      <xdr:nvGraphicFramePr>
        <xdr:cNvPr id="2" name="Gráfico 1">
          <a:extLst>
            <a:ext uri="{FF2B5EF4-FFF2-40B4-BE49-F238E27FC236}">
              <a16:creationId xmlns:a16="http://schemas.microsoft.com/office/drawing/2014/main" id="{3BE78BA6-2339-9C7D-1AE8-6ED9973BFA5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396240</xdr:colOff>
      <xdr:row>20</xdr:row>
      <xdr:rowOff>3810</xdr:rowOff>
    </xdr:from>
    <xdr:to>
      <xdr:col>16</xdr:col>
      <xdr:colOff>83820</xdr:colOff>
      <xdr:row>37</xdr:row>
      <xdr:rowOff>76200</xdr:rowOff>
    </xdr:to>
    <xdr:graphicFrame macro="">
      <xdr:nvGraphicFramePr>
        <xdr:cNvPr id="3" name="Gráfico 2">
          <a:extLst>
            <a:ext uri="{FF2B5EF4-FFF2-40B4-BE49-F238E27FC236}">
              <a16:creationId xmlns:a16="http://schemas.microsoft.com/office/drawing/2014/main" id="{5DF04C9D-A3B9-0D9B-66BC-CAF7471F08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228600</xdr:colOff>
      <xdr:row>24</xdr:row>
      <xdr:rowOff>110490</xdr:rowOff>
    </xdr:from>
    <xdr:to>
      <xdr:col>4</xdr:col>
      <xdr:colOff>365760</xdr:colOff>
      <xdr:row>39</xdr:row>
      <xdr:rowOff>148590</xdr:rowOff>
    </xdr:to>
    <xdr:graphicFrame macro="">
      <xdr:nvGraphicFramePr>
        <xdr:cNvPr id="5" name="Gráfico 4">
          <a:extLst>
            <a:ext uri="{FF2B5EF4-FFF2-40B4-BE49-F238E27FC236}">
              <a16:creationId xmlns:a16="http://schemas.microsoft.com/office/drawing/2014/main" id="{392F2476-EC2C-D8ED-EB34-580C5C2FBE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213360</xdr:colOff>
      <xdr:row>40</xdr:row>
      <xdr:rowOff>80010</xdr:rowOff>
    </xdr:from>
    <xdr:to>
      <xdr:col>4</xdr:col>
      <xdr:colOff>350520</xdr:colOff>
      <xdr:row>55</xdr:row>
      <xdr:rowOff>80010</xdr:rowOff>
    </xdr:to>
    <xdr:graphicFrame macro="">
      <xdr:nvGraphicFramePr>
        <xdr:cNvPr id="6" name="Gráfico 5">
          <a:extLst>
            <a:ext uri="{FF2B5EF4-FFF2-40B4-BE49-F238E27FC236}">
              <a16:creationId xmlns:a16="http://schemas.microsoft.com/office/drawing/2014/main" id="{3D6F1958-746C-F8A9-0708-E3FAE78BB5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320040</xdr:colOff>
      <xdr:row>1</xdr:row>
      <xdr:rowOff>95250</xdr:rowOff>
    </xdr:from>
    <xdr:to>
      <xdr:col>17</xdr:col>
      <xdr:colOff>593640</xdr:colOff>
      <xdr:row>15</xdr:row>
      <xdr:rowOff>174810</xdr:rowOff>
    </xdr:to>
    <xdr:graphicFrame macro="">
      <xdr:nvGraphicFramePr>
        <xdr:cNvPr id="3" name="Gráfico 2">
          <a:extLst>
            <a:ext uri="{FF2B5EF4-FFF2-40B4-BE49-F238E27FC236}">
              <a16:creationId xmlns:a16="http://schemas.microsoft.com/office/drawing/2014/main" id="{23FE5BA4-CEEC-8460-36F3-CD669329C0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289560</xdr:colOff>
      <xdr:row>16</xdr:row>
      <xdr:rowOff>30480</xdr:rowOff>
    </xdr:from>
    <xdr:to>
      <xdr:col>18</xdr:col>
      <xdr:colOff>251460</xdr:colOff>
      <xdr:row>32</xdr:row>
      <xdr:rowOff>91440</xdr:rowOff>
    </xdr:to>
    <xdr:graphicFrame macro="">
      <xdr:nvGraphicFramePr>
        <xdr:cNvPr id="4" name="Gráfico 3">
          <a:extLst>
            <a:ext uri="{FF2B5EF4-FFF2-40B4-BE49-F238E27FC236}">
              <a16:creationId xmlns:a16="http://schemas.microsoft.com/office/drawing/2014/main" id="{0F4A453B-9FFE-44C2-9F90-275F909DAC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259080</xdr:colOff>
      <xdr:row>32</xdr:row>
      <xdr:rowOff>304800</xdr:rowOff>
    </xdr:from>
    <xdr:to>
      <xdr:col>19</xdr:col>
      <xdr:colOff>472440</xdr:colOff>
      <xdr:row>57</xdr:row>
      <xdr:rowOff>22860</xdr:rowOff>
    </xdr:to>
    <xdr:graphicFrame macro="">
      <xdr:nvGraphicFramePr>
        <xdr:cNvPr id="5" name="Gráfico 4">
          <a:extLst>
            <a:ext uri="{FF2B5EF4-FFF2-40B4-BE49-F238E27FC236}">
              <a16:creationId xmlns:a16="http://schemas.microsoft.com/office/drawing/2014/main" id="{B4C8B283-B365-4702-8436-F24CE938D2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533400</xdr:colOff>
      <xdr:row>59</xdr:row>
      <xdr:rowOff>106680</xdr:rowOff>
    </xdr:from>
    <xdr:to>
      <xdr:col>20</xdr:col>
      <xdr:colOff>137160</xdr:colOff>
      <xdr:row>85</xdr:row>
      <xdr:rowOff>45720</xdr:rowOff>
    </xdr:to>
    <xdr:graphicFrame macro="">
      <xdr:nvGraphicFramePr>
        <xdr:cNvPr id="6" name="Gráfico 5">
          <a:extLst>
            <a:ext uri="{FF2B5EF4-FFF2-40B4-BE49-F238E27FC236}">
              <a16:creationId xmlns:a16="http://schemas.microsoft.com/office/drawing/2014/main" id="{4BA45C42-FABB-4891-9003-94CE67256E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a Luiza Helfer" refreshedDate="45225.006685532404" createdVersion="8" refreshedVersion="8" minRefreshableVersion="3" recordCount="120" xr:uid="{AF457109-F80D-4ED3-9E0C-660F19B210E5}">
  <cacheSource type="worksheet">
    <worksheetSource ref="A1:AP121" sheet="Resumo"/>
  </cacheSource>
  <cacheFields count="42">
    <cacheField name="Eixo" numFmtId="0">
      <sharedItems count="4">
        <s v="EIXO 1: CONSERVAÇÃO AMBIENTAL"/>
        <s v="EIXO 2: PRODUÇÃO SUSTENTÁVEL"/>
        <s v="EIXO 3: GARANTIA DE ACESSO A ÁGUA EM QUANTIDADE E QUALIDADE"/>
        <s v="EIXO 4: RESILIÊNCIA A EVENTOS EXTREMOS"/>
      </sharedItems>
    </cacheField>
    <cacheField name="Programa" numFmtId="0">
      <sharedItems count="12">
        <s v="1.1"/>
        <s v="1.2"/>
        <s v="2.1"/>
        <s v="2.2"/>
        <s v="2.3"/>
        <s v="3.1"/>
        <s v="3.2"/>
        <s v="3.3"/>
        <s v="3.4"/>
        <s v="4.1"/>
        <s v="4.2"/>
        <s v="4.3"/>
      </sharedItems>
    </cacheField>
    <cacheField name="Descrição do Programa" numFmtId="0">
      <sharedItems count="12">
        <s v="Proteção e conservação de áreas de mananciais"/>
        <s v="Recomposição florestal de áreas chave para produção hídrica"/>
        <s v="Sustentabilidade do uso da água na produção"/>
        <s v="Gerenciamento e controle de atividades poluidoras"/>
        <s v="Regularização ambiental"/>
        <s v="Ampliação das reservas hídricas e da infraestrutura de abasetecimento de água"/>
        <s v="Programa de Pagamento por Resultados (PporR) na redução e controle de perdas"/>
        <s v="Ampliação da infraestrutura de coleta e tratamento de esgoto"/>
        <s v="Manejo de resíduos sólidos"/>
        <s v="Prevenção e adaptação à eventos extremos"/>
        <s v="Controle de cheias, enxurradas e alagamentos"/>
        <s v="Segurança de barragens"/>
      </sharedItems>
    </cacheField>
    <cacheField name="Ação" numFmtId="0">
      <sharedItems count="35">
        <s v="1.1.1"/>
        <s v="1.1.2"/>
        <s v="1.2.1"/>
        <s v="1.2.2"/>
        <s v="2.1.1"/>
        <s v="2.1.2"/>
        <s v="2.1.3"/>
        <s v="2.1.4"/>
        <s v="2.2.1"/>
        <s v="2.2.2"/>
        <s v="2.3.1"/>
        <s v="2.3.2"/>
        <s v="3.1.1"/>
        <s v="3.1.2"/>
        <s v="3.1.3"/>
        <s v="3.1.4"/>
        <s v="3.2.1"/>
        <s v="3.2.2"/>
        <s v="3.3.1"/>
        <s v="3.3.2"/>
        <s v="3.3.3"/>
        <s v="3.4.1"/>
        <s v="3.4.2"/>
        <s v="4.1.1"/>
        <s v="4.1.2"/>
        <s v="4.1.3"/>
        <s v="4.1.4"/>
        <s v="4.1.5"/>
        <s v="4.2.1"/>
        <s v="4.2.2"/>
        <s v="4.2.3"/>
        <s v="4.2.4"/>
        <s v="4.3.1"/>
        <s v="4.3.2"/>
        <s v="4.3.3"/>
      </sharedItems>
    </cacheField>
    <cacheField name="Descrição da Ação" numFmtId="0">
      <sharedItems count="35">
        <s v="Proteção e conservação das áreas de drenagem dos mananciais de abastecimento"/>
        <s v="Elaboração e implementação dos Planos de Manejo das UCs localizadas em áreas de drenagem de mananciais de abastecimento"/>
        <s v="Articulação de interesses para recuperação e preservação de áreas chave para produção hídrica"/>
        <s v="Implantação de projetos de recuperação e preservação de áreas chave para produção hídrica"/>
        <s v="Aumento da eficiência de uso da água na produção industrial"/>
        <s v="Aumento da eficiência de uso da água na produção agrícola"/>
        <s v="Aumento da eficiência de uso da água na mineração"/>
        <s v="Implementação de um sistema de monitoramento das alterações hidrodinâmicas dos aquíferos"/>
        <s v="Recuperação de áreas degradadas e controle de processos erosivos"/>
        <s v="Recuperação e gerenciamento de áreas contaminadas"/>
        <s v="Fiscalização ambiental preventiva"/>
        <s v="Certificação e reconhecimento por boas práticas ambientais"/>
        <s v="Elaboração de estudo de alternativas para a ampliação e diversificação das reservas hídricas"/>
        <s v="Elaboração de estudo de viabilidade técnica, econômica, sanitária e ambiental da recarga artificial de aquíferos"/>
        <s v="Desenvolvimento de sistema de gestão de riscos de desabastecimento da RMBH"/>
        <s v="Fomento a projetos e obras de ampliação dos sistemas de abastecimento de água"/>
        <s v="Apoio institucional aos operadores para implementação de Programa de Pagamento por Resultados na redução e controle de perdas"/>
        <s v="Implementação do Programa de Pagamento por Resultados na redução e controle de perdas"/>
        <s v="Elaboração e revisão dos Planos Municipais de Saneamento Básico"/>
        <s v="Fomento a projetos e obras de ampliação da coleta e tratamento de esgotos"/>
        <s v="Elaboração de estudo de viabilidade econômico-financeira e de impacto ambiental da desinfecção de efluentes das ETEs"/>
        <s v="Fomento ao encerramento e recuperação das áreas degradadas por lixões e aterros controlados"/>
        <s v="Fomento a ampliação da coleta de resíduos sólidos e ações de limpeza urbana"/>
        <s v="Mapeamento de áreas de risco de desastres e fomento a elaboração dos Planos Municipais de Redução de Risco"/>
        <s v="Conscientização sobre os riscos e preparação para enfrentamento de desastres"/>
        <s v="Fortalecimento da Defesa Civil e elaboração dos Planos de Contingência"/>
        <s v="Desenvolvimento de um sistema de previsão e alerta contra eventos extremos"/>
        <s v="Desenvolvimento de pesquisas sobre as mudanças climáticas e suas implicações econômicas, sociais e ambientais na RMBH"/>
        <s v="Capacitação dos municípios em manejo sustentável de águas pluviais"/>
        <s v="Elaboração e revisão dos Planos Diretores de Drenagem Urbana"/>
        <s v="Fomento a projetos e obras de implantação e adequação dos sistemas de macrodrenagem municipais"/>
        <s v="Elaboração do Plano Diretor de Macrodrenagem do Alto Rio das Velhas"/>
        <s v="Regularização das barragens de rejeito"/>
        <s v="Desenvolvimento de sistema de gerenciamento de informações relativas aos planos de segurança das barragens"/>
        <s v="Controle das inspeções periódicas e revisões do nível de segurança das barragens"/>
      </sharedItems>
    </cacheField>
    <cacheField name="Atividade" numFmtId="0">
      <sharedItems containsSemiMixedTypes="0" containsString="0" containsNumber="1" containsInteger="1" minValue="1" maxValue="4"/>
    </cacheField>
    <cacheField name="Descrição da Atividade" numFmtId="0">
      <sharedItems/>
    </cacheField>
    <cacheField name="Responsável pela Execução" numFmtId="0">
      <sharedItems/>
    </cacheField>
    <cacheField name="Tipologia de custos" numFmtId="0">
      <sharedItems count="3">
        <s v="Gestão"/>
        <s v="Estudos/ projetos"/>
        <s v="Obras"/>
      </sharedItems>
    </cacheField>
    <cacheField name="Observação" numFmtId="0">
      <sharedItems/>
    </cacheField>
    <cacheField name="Horas" numFmtId="0">
      <sharedItems containsBlank="1" containsMixedTypes="1" containsNumber="1" containsInteger="1" minValue="150" maxValue="14000"/>
    </cacheField>
    <cacheField name="Orçamento (R$)" numFmtId="4">
      <sharedItems containsMixedTypes="1" containsNumber="1" minValue="18750" maxValue="2260000000"/>
    </cacheField>
    <cacheField name="2024" numFmtId="0">
      <sharedItems containsNonDate="0" containsString="0" containsBlank="1"/>
    </cacheField>
    <cacheField name="2025" numFmtId="0">
      <sharedItems containsNonDate="0" containsString="0" containsBlank="1"/>
    </cacheField>
    <cacheField name="2026" numFmtId="0">
      <sharedItems containsNonDate="0" containsString="0" containsBlank="1"/>
    </cacheField>
    <cacheField name="2027" numFmtId="0">
      <sharedItems containsNonDate="0" containsString="0" containsBlank="1"/>
    </cacheField>
    <cacheField name="2028" numFmtId="0">
      <sharedItems containsNonDate="0" containsString="0" containsBlank="1"/>
    </cacheField>
    <cacheField name="2029" numFmtId="0">
      <sharedItems containsNonDate="0" containsString="0" containsBlank="1"/>
    </cacheField>
    <cacheField name="2030" numFmtId="0">
      <sharedItems containsNonDate="0" containsString="0" containsBlank="1"/>
    </cacheField>
    <cacheField name="2031" numFmtId="0">
      <sharedItems containsNonDate="0" containsString="0" containsBlank="1"/>
    </cacheField>
    <cacheField name="2032" numFmtId="0">
      <sharedItems containsNonDate="0" containsString="0" containsBlank="1"/>
    </cacheField>
    <cacheField name="2033" numFmtId="0">
      <sharedItems containsNonDate="0" containsString="0" containsBlank="1"/>
    </cacheField>
    <cacheField name="2034" numFmtId="0">
      <sharedItems containsNonDate="0" containsString="0" containsBlank="1"/>
    </cacheField>
    <cacheField name="2035" numFmtId="0">
      <sharedItems containsNonDate="0" containsString="0" containsBlank="1"/>
    </cacheField>
    <cacheField name="2036" numFmtId="0">
      <sharedItems containsNonDate="0" containsString="0" containsBlank="1"/>
    </cacheField>
    <cacheField name="2037" numFmtId="0">
      <sharedItems containsNonDate="0" containsString="0" containsBlank="1"/>
    </cacheField>
    <cacheField name="2038" numFmtId="0">
      <sharedItems containsNonDate="0" containsString="0" containsBlank="1"/>
    </cacheField>
    <cacheField name="2039" numFmtId="0">
      <sharedItems containsNonDate="0" containsString="0" containsBlank="1"/>
    </cacheField>
    <cacheField name="2040" numFmtId="0">
      <sharedItems containsNonDate="0" containsString="0" containsBlank="1"/>
    </cacheField>
    <cacheField name="2041" numFmtId="0">
      <sharedItems containsNonDate="0" containsString="0" containsBlank="1"/>
    </cacheField>
    <cacheField name="2042" numFmtId="0">
      <sharedItems containsNonDate="0" containsString="0" containsBlank="1"/>
    </cacheField>
    <cacheField name="2043" numFmtId="0">
      <sharedItems containsNonDate="0" containsString="0" containsBlank="1"/>
    </cacheField>
    <cacheField name="2044" numFmtId="0">
      <sharedItems containsNonDate="0" containsString="0" containsBlank="1"/>
    </cacheField>
    <cacheField name="2045" numFmtId="0">
      <sharedItems containsNonDate="0" containsString="0" containsBlank="1"/>
    </cacheField>
    <cacheField name="2046" numFmtId="0">
      <sharedItems containsNonDate="0" containsString="0" containsBlank="1"/>
    </cacheField>
    <cacheField name="2047" numFmtId="0">
      <sharedItems containsNonDate="0" containsString="0" containsBlank="1"/>
    </cacheField>
    <cacheField name="2048" numFmtId="0">
      <sharedItems containsNonDate="0" containsString="0" containsBlank="1"/>
    </cacheField>
    <cacheField name="2049" numFmtId="0">
      <sharedItems containsNonDate="0" containsString="0" containsBlank="1"/>
    </cacheField>
    <cacheField name="2050" numFmtId="0">
      <sharedItems containsNonDate="0" containsString="0" containsBlank="1"/>
    </cacheField>
    <cacheField name="2051" numFmtId="0">
      <sharedItems containsNonDate="0" containsString="0" containsBlank="1"/>
    </cacheField>
    <cacheField name="2052" numFmtId="0">
      <sharedItems containsNonDate="0" containsString="0" containsBlank="1"/>
    </cacheField>
    <cacheField name="2053"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20">
  <r>
    <x v="0"/>
    <x v="0"/>
    <x v="0"/>
    <x v="0"/>
    <x v="0"/>
    <n v="1"/>
    <s v="Divulgação e apresentação dos resultados do PSH-RMBH"/>
    <s v="Agência RMBH"/>
    <x v="0"/>
    <s v="Estimadas 160 horas de trabalho"/>
    <n v="160"/>
    <n v="20000"/>
    <m/>
    <m/>
    <m/>
    <m/>
    <m/>
    <m/>
    <m/>
    <m/>
    <m/>
    <m/>
    <m/>
    <m/>
    <m/>
    <m/>
    <m/>
    <m/>
    <m/>
    <m/>
    <m/>
    <m/>
    <m/>
    <m/>
    <m/>
    <m/>
    <m/>
    <m/>
    <m/>
    <m/>
    <m/>
    <m/>
  </r>
  <r>
    <x v="0"/>
    <x v="0"/>
    <x v="0"/>
    <x v="0"/>
    <x v="0"/>
    <n v="2"/>
    <s v="Recebimento das demandas de estudos técnicos e elaboração dos TRs"/>
    <s v="IEF"/>
    <x v="0"/>
    <s v="Estimadas 150 horas de trabalho para cada TR e 5 TRs elaborados."/>
    <n v="750"/>
    <n v="93750"/>
    <m/>
    <m/>
    <m/>
    <m/>
    <m/>
    <m/>
    <m/>
    <m/>
    <m/>
    <m/>
    <m/>
    <m/>
    <m/>
    <m/>
    <m/>
    <m/>
    <m/>
    <m/>
    <m/>
    <m/>
    <m/>
    <m/>
    <m/>
    <m/>
    <m/>
    <m/>
    <m/>
    <m/>
    <m/>
    <m/>
  </r>
  <r>
    <x v="0"/>
    <x v="0"/>
    <x v="0"/>
    <x v="0"/>
    <x v="0"/>
    <n v="3"/>
    <s v="Licitação e contratação dos estudos técnicos"/>
    <s v="IEF"/>
    <x v="0"/>
    <s v="Estimadas 250 horas de trabalho para licitação de cada estudo e 5 estudos licitados."/>
    <n v="1250"/>
    <n v="156250"/>
    <m/>
    <m/>
    <m/>
    <m/>
    <m/>
    <m/>
    <m/>
    <m/>
    <m/>
    <m/>
    <m/>
    <m/>
    <m/>
    <m/>
    <m/>
    <m/>
    <m/>
    <m/>
    <m/>
    <m/>
    <m/>
    <m/>
    <m/>
    <m/>
    <m/>
    <m/>
    <m/>
    <m/>
    <m/>
    <m/>
  </r>
  <r>
    <x v="0"/>
    <x v="0"/>
    <x v="0"/>
    <x v="0"/>
    <x v="0"/>
    <n v="4"/>
    <s v="Conclusão dos estudos técnicos"/>
    <s v="IEF"/>
    <x v="1"/>
    <s v="Considerado o custo de R$ 250.0000 por estudo técnico e contratação de 5 estudos."/>
    <s v="-"/>
    <n v="1250000"/>
    <m/>
    <m/>
    <m/>
    <m/>
    <m/>
    <m/>
    <m/>
    <m/>
    <m/>
    <m/>
    <m/>
    <m/>
    <m/>
    <m/>
    <m/>
    <m/>
    <m/>
    <m/>
    <m/>
    <m/>
    <m/>
    <m/>
    <m/>
    <m/>
    <m/>
    <m/>
    <m/>
    <m/>
    <m/>
    <m/>
  </r>
  <r>
    <x v="0"/>
    <x v="0"/>
    <x v="0"/>
    <x v="1"/>
    <x v="1"/>
    <n v="1"/>
    <s v="Seleção das UCs e composição de conselhos gestores"/>
    <s v="IEF"/>
    <x v="0"/>
    <s v="Considerado o custo de R$ 160.0000 para a formação de conselhos gestores e formação de 10 conselhos gestores."/>
    <s v="-"/>
    <n v="1600000"/>
    <m/>
    <m/>
    <m/>
    <m/>
    <m/>
    <m/>
    <m/>
    <m/>
    <m/>
    <m/>
    <m/>
    <m/>
    <m/>
    <m/>
    <m/>
    <m/>
    <m/>
    <m/>
    <m/>
    <m/>
    <m/>
    <m/>
    <m/>
    <m/>
    <m/>
    <m/>
    <m/>
    <m/>
    <m/>
    <m/>
  </r>
  <r>
    <x v="0"/>
    <x v="0"/>
    <x v="0"/>
    <x v="1"/>
    <x v="1"/>
    <n v="2"/>
    <s v="Elaboração de diagnósticos socioambientais e contratação dos Planos de Manejo"/>
    <s v="IEF"/>
    <x v="1"/>
    <s v="Considerado o custo de R$ 225.0000 para a elaboração de diagnósticos socioambientais e elaboração de 10 diagnósticos."/>
    <s v="-"/>
    <n v="2250000"/>
    <m/>
    <m/>
    <m/>
    <m/>
    <m/>
    <m/>
    <m/>
    <m/>
    <m/>
    <m/>
    <m/>
    <m/>
    <m/>
    <m/>
    <m/>
    <m/>
    <m/>
    <m/>
    <m/>
    <m/>
    <m/>
    <m/>
    <m/>
    <m/>
    <m/>
    <m/>
    <m/>
    <m/>
    <m/>
    <m/>
  </r>
  <r>
    <x v="0"/>
    <x v="0"/>
    <x v="0"/>
    <x v="1"/>
    <x v="1"/>
    <n v="3"/>
    <s v="Elaboração e aprovação dos Planos de Manejo"/>
    <s v="IEF"/>
    <x v="1"/>
    <s v="Considerado o custo de R$ 350.0000 por Plano de Manejo e contratação de 10 Planos de Manejo."/>
    <s v="-"/>
    <n v="3500000"/>
    <m/>
    <m/>
    <m/>
    <m/>
    <m/>
    <m/>
    <m/>
    <m/>
    <m/>
    <m/>
    <m/>
    <m/>
    <m/>
    <m/>
    <m/>
    <m/>
    <m/>
    <m/>
    <m/>
    <m/>
    <m/>
    <m/>
    <m/>
    <m/>
    <m/>
    <m/>
    <m/>
    <m/>
    <m/>
    <m/>
  </r>
  <r>
    <x v="0"/>
    <x v="0"/>
    <x v="0"/>
    <x v="1"/>
    <x v="1"/>
    <n v="4"/>
    <s v="Implementação, monitoramento e realização de revisões periódicas dos Planos de Manejo "/>
    <s v="IEF"/>
    <x v="0"/>
    <s v="-"/>
    <s v="-"/>
    <s v="-"/>
    <m/>
    <m/>
    <m/>
    <m/>
    <m/>
    <m/>
    <m/>
    <m/>
    <m/>
    <m/>
    <m/>
    <m/>
    <m/>
    <m/>
    <m/>
    <m/>
    <m/>
    <m/>
    <m/>
    <m/>
    <m/>
    <m/>
    <m/>
    <m/>
    <m/>
    <m/>
    <m/>
    <m/>
    <m/>
    <m/>
  </r>
  <r>
    <x v="0"/>
    <x v="1"/>
    <x v="1"/>
    <x v="2"/>
    <x v="2"/>
    <n v="1"/>
    <s v="Divulgação e apresentação dos resultados do PSH-RMBH"/>
    <s v="Agência RMBH"/>
    <x v="0"/>
    <s v="Estimadas 160 horas de trabalho"/>
    <n v="160"/>
    <n v="20000"/>
    <m/>
    <m/>
    <m/>
    <m/>
    <m/>
    <m/>
    <m/>
    <m/>
    <m/>
    <m/>
    <m/>
    <m/>
    <m/>
    <m/>
    <m/>
    <m/>
    <m/>
    <m/>
    <m/>
    <m/>
    <m/>
    <m/>
    <m/>
    <m/>
    <m/>
    <m/>
    <m/>
    <m/>
    <m/>
    <m/>
  </r>
  <r>
    <x v="0"/>
    <x v="1"/>
    <x v="1"/>
    <x v="2"/>
    <x v="2"/>
    <n v="2"/>
    <s v="Criação de um Fundo de Água"/>
    <s v="Agência RMBH, IGAM e IEF"/>
    <x v="0"/>
    <s v="Estimadas 640 horas de trabalho"/>
    <n v="640"/>
    <n v="80000"/>
    <m/>
    <m/>
    <m/>
    <m/>
    <m/>
    <m/>
    <m/>
    <m/>
    <m/>
    <m/>
    <m/>
    <m/>
    <m/>
    <m/>
    <m/>
    <m/>
    <m/>
    <m/>
    <m/>
    <m/>
    <m/>
    <m/>
    <m/>
    <m/>
    <m/>
    <m/>
    <m/>
    <m/>
    <m/>
    <m/>
  </r>
  <r>
    <x v="0"/>
    <x v="1"/>
    <x v="1"/>
    <x v="2"/>
    <x v="2"/>
    <n v="3"/>
    <s v="Formação de banco de projetos"/>
    <s v="Agência RMBH, IGAM e IEF"/>
    <x v="0"/>
    <s v="Estimadas 640 horas de trabalho"/>
    <n v="640"/>
    <n v="80000"/>
    <m/>
    <m/>
    <m/>
    <m/>
    <m/>
    <m/>
    <m/>
    <m/>
    <m/>
    <m/>
    <m/>
    <m/>
    <m/>
    <m/>
    <m/>
    <m/>
    <m/>
    <m/>
    <m/>
    <m/>
    <m/>
    <m/>
    <m/>
    <m/>
    <m/>
    <m/>
    <m/>
    <m/>
    <m/>
    <m/>
  </r>
  <r>
    <x v="0"/>
    <x v="1"/>
    <x v="1"/>
    <x v="3"/>
    <x v="3"/>
    <n v="1"/>
    <s v="Contratação dos projetos"/>
    <s v="Agência RMBH, IGAM e IEF"/>
    <x v="0"/>
    <s v="Estimadas 250 horas de trabalho para contratação de cada projeto e contratação de 2 projetos por ano, durante 28 anos."/>
    <n v="14000"/>
    <n v="1750000"/>
    <m/>
    <m/>
    <m/>
    <m/>
    <m/>
    <m/>
    <m/>
    <m/>
    <m/>
    <m/>
    <m/>
    <m/>
    <m/>
    <m/>
    <m/>
    <m/>
    <m/>
    <m/>
    <m/>
    <m/>
    <m/>
    <m/>
    <m/>
    <m/>
    <m/>
    <m/>
    <m/>
    <m/>
    <m/>
    <m/>
  </r>
  <r>
    <x v="0"/>
    <x v="1"/>
    <x v="1"/>
    <x v="3"/>
    <x v="3"/>
    <n v="2"/>
    <s v="Implantação dos projetos"/>
    <s v="Agência RMBH, IGAM e IEF"/>
    <x v="1"/>
    <s v="Considerado o custo de R$ 500.0000 por projeto a ser contratado e contratação de 56 projetos"/>
    <s v="-"/>
    <n v="28000000"/>
    <m/>
    <m/>
    <m/>
    <m/>
    <m/>
    <m/>
    <m/>
    <m/>
    <m/>
    <m/>
    <m/>
    <m/>
    <m/>
    <m/>
    <m/>
    <m/>
    <m/>
    <m/>
    <m/>
    <m/>
    <m/>
    <m/>
    <m/>
    <m/>
    <m/>
    <m/>
    <m/>
    <m/>
    <m/>
    <m/>
  </r>
  <r>
    <x v="0"/>
    <x v="1"/>
    <x v="1"/>
    <x v="3"/>
    <x v="3"/>
    <n v="3"/>
    <s v="Monitoramento"/>
    <s v="Agência RMBH, IGAM e IEF"/>
    <x v="0"/>
    <s v="-"/>
    <s v="-"/>
    <s v="-"/>
    <m/>
    <m/>
    <m/>
    <m/>
    <m/>
    <m/>
    <m/>
    <m/>
    <m/>
    <m/>
    <m/>
    <m/>
    <m/>
    <m/>
    <m/>
    <m/>
    <m/>
    <m/>
    <m/>
    <m/>
    <m/>
    <m/>
    <m/>
    <m/>
    <m/>
    <m/>
    <m/>
    <m/>
    <m/>
    <m/>
  </r>
  <r>
    <x v="1"/>
    <x v="2"/>
    <x v="2"/>
    <x v="4"/>
    <x v="4"/>
    <n v="1"/>
    <s v="Formação de Grupo de Trabalho"/>
    <s v="IGAM"/>
    <x v="0"/>
    <s v="Estimadas 160 horas de trabalho"/>
    <n v="160"/>
    <n v="20000"/>
    <m/>
    <m/>
    <m/>
    <m/>
    <m/>
    <m/>
    <m/>
    <m/>
    <m/>
    <m/>
    <m/>
    <m/>
    <m/>
    <m/>
    <m/>
    <m/>
    <m/>
    <m/>
    <m/>
    <m/>
    <m/>
    <m/>
    <m/>
    <m/>
    <m/>
    <m/>
    <m/>
    <m/>
    <m/>
    <m/>
  </r>
  <r>
    <x v="1"/>
    <x v="2"/>
    <x v="2"/>
    <x v="4"/>
    <x v="4"/>
    <n v="2"/>
    <s v="Levantamento de oportunidades"/>
    <s v="FIEMG"/>
    <x v="1"/>
    <s v="Ver orçamento na planilha Ação 2.1.1."/>
    <s v="-"/>
    <n v="593876"/>
    <m/>
    <m/>
    <m/>
    <m/>
    <m/>
    <m/>
    <m/>
    <m/>
    <m/>
    <m/>
    <m/>
    <m/>
    <m/>
    <m/>
    <m/>
    <m/>
    <m/>
    <m/>
    <m/>
    <m/>
    <m/>
    <m/>
    <m/>
    <m/>
    <m/>
    <m/>
    <m/>
    <m/>
    <m/>
    <m/>
  </r>
  <r>
    <x v="1"/>
    <x v="2"/>
    <x v="2"/>
    <x v="4"/>
    <x v="4"/>
    <n v="3"/>
    <s v="Criação de condicionantes para outorga do direito de uso da água"/>
    <s v="IGAM"/>
    <x v="0"/>
    <s v="Estimadas 960 horas de trabalho"/>
    <n v="960"/>
    <n v="120000"/>
    <m/>
    <m/>
    <m/>
    <m/>
    <m/>
    <m/>
    <m/>
    <m/>
    <m/>
    <m/>
    <m/>
    <m/>
    <m/>
    <m/>
    <m/>
    <m/>
    <m/>
    <m/>
    <m/>
    <m/>
    <m/>
    <m/>
    <m/>
    <m/>
    <m/>
    <m/>
    <m/>
    <m/>
    <m/>
    <m/>
  </r>
  <r>
    <x v="1"/>
    <x v="2"/>
    <x v="2"/>
    <x v="5"/>
    <x v="5"/>
    <n v="1"/>
    <s v="Formação de Grupo de Trabalho"/>
    <s v="IGAM"/>
    <x v="0"/>
    <s v="Estimadas 160 horas de trabalho"/>
    <n v="160"/>
    <n v="20000"/>
    <m/>
    <m/>
    <m/>
    <m/>
    <m/>
    <m/>
    <m/>
    <m/>
    <m/>
    <m/>
    <m/>
    <m/>
    <m/>
    <m/>
    <m/>
    <m/>
    <m/>
    <m/>
    <m/>
    <m/>
    <m/>
    <m/>
    <m/>
    <m/>
    <m/>
    <m/>
    <m/>
    <m/>
    <m/>
    <m/>
  </r>
  <r>
    <x v="1"/>
    <x v="2"/>
    <x v="2"/>
    <x v="5"/>
    <x v="5"/>
    <n v="2"/>
    <s v="Levantamento de oportunidades"/>
    <s v="FAEMG"/>
    <x v="1"/>
    <s v="Ver orçamento na planilha Ação 2.1.2."/>
    <s v="-"/>
    <n v="593876"/>
    <m/>
    <m/>
    <m/>
    <m/>
    <m/>
    <m/>
    <m/>
    <m/>
    <m/>
    <m/>
    <m/>
    <m/>
    <m/>
    <m/>
    <m/>
    <m/>
    <m/>
    <m/>
    <m/>
    <m/>
    <m/>
    <m/>
    <m/>
    <m/>
    <m/>
    <m/>
    <m/>
    <m/>
    <m/>
    <m/>
  </r>
  <r>
    <x v="1"/>
    <x v="2"/>
    <x v="2"/>
    <x v="5"/>
    <x v="5"/>
    <n v="3"/>
    <s v="Criação de condicionantes para outorga do direito de uso da água"/>
    <s v="IGAM"/>
    <x v="0"/>
    <s v="Estimadas 960 horas de trabalho"/>
    <n v="960"/>
    <n v="120000"/>
    <m/>
    <m/>
    <m/>
    <m/>
    <m/>
    <m/>
    <m/>
    <m/>
    <m/>
    <m/>
    <m/>
    <m/>
    <m/>
    <m/>
    <m/>
    <m/>
    <m/>
    <m/>
    <m/>
    <m/>
    <m/>
    <m/>
    <m/>
    <m/>
    <m/>
    <m/>
    <m/>
    <m/>
    <m/>
    <m/>
  </r>
  <r>
    <x v="1"/>
    <x v="2"/>
    <x v="2"/>
    <x v="6"/>
    <x v="6"/>
    <n v="1"/>
    <s v="Formação de Grupo de Trabalho"/>
    <s v="IGAM"/>
    <x v="0"/>
    <s v="Estimadas 160 horas de trabalho"/>
    <n v="160"/>
    <n v="20000"/>
    <m/>
    <m/>
    <m/>
    <m/>
    <m/>
    <m/>
    <m/>
    <m/>
    <m/>
    <m/>
    <m/>
    <m/>
    <m/>
    <m/>
    <m/>
    <m/>
    <m/>
    <m/>
    <m/>
    <m/>
    <m/>
    <m/>
    <m/>
    <m/>
    <m/>
    <m/>
    <m/>
    <m/>
    <m/>
    <m/>
  </r>
  <r>
    <x v="1"/>
    <x v="2"/>
    <x v="2"/>
    <x v="6"/>
    <x v="6"/>
    <n v="2"/>
    <s v="Levantamento de oportunidades"/>
    <s v="FIEMG"/>
    <x v="1"/>
    <s v="Ver orçamento na planilha Ação 2.1.3."/>
    <s v="-"/>
    <n v="593876"/>
    <m/>
    <m/>
    <m/>
    <m/>
    <m/>
    <m/>
    <m/>
    <m/>
    <m/>
    <m/>
    <m/>
    <m/>
    <m/>
    <m/>
    <m/>
    <m/>
    <m/>
    <m/>
    <m/>
    <m/>
    <m/>
    <m/>
    <m/>
    <m/>
    <m/>
    <m/>
    <m/>
    <m/>
    <m/>
    <m/>
  </r>
  <r>
    <x v="1"/>
    <x v="2"/>
    <x v="2"/>
    <x v="6"/>
    <x v="6"/>
    <n v="3"/>
    <s v="Criação de condicionantes para outorga do direito de uso da água"/>
    <s v="IGAM"/>
    <x v="0"/>
    <s v="Estimadas 960 horas de trabalho"/>
    <n v="960"/>
    <n v="120000"/>
    <m/>
    <m/>
    <m/>
    <m/>
    <m/>
    <m/>
    <m/>
    <m/>
    <m/>
    <m/>
    <m/>
    <m/>
    <m/>
    <m/>
    <m/>
    <m/>
    <m/>
    <m/>
    <m/>
    <m/>
    <m/>
    <m/>
    <m/>
    <m/>
    <m/>
    <m/>
    <m/>
    <m/>
    <m/>
    <m/>
  </r>
  <r>
    <x v="1"/>
    <x v="2"/>
    <x v="2"/>
    <x v="7"/>
    <x v="7"/>
    <n v="1"/>
    <s v="Seleção dos aquíferos a serem monitorados"/>
    <s v="IGAM"/>
    <x v="0"/>
    <s v="Estimadas 320 horas de trabalho"/>
    <n v="320"/>
    <n v="40000"/>
    <m/>
    <m/>
    <m/>
    <m/>
    <m/>
    <m/>
    <m/>
    <m/>
    <m/>
    <m/>
    <m/>
    <m/>
    <m/>
    <m/>
    <m/>
    <m/>
    <m/>
    <m/>
    <m/>
    <m/>
    <m/>
    <m/>
    <m/>
    <m/>
    <m/>
    <m/>
    <m/>
    <m/>
    <m/>
    <m/>
  </r>
  <r>
    <x v="1"/>
    <x v="2"/>
    <x v="2"/>
    <x v="7"/>
    <x v="7"/>
    <n v="2"/>
    <s v="Seleção dos pontos, definição dos parâmetros e frequência de monitoramento"/>
    <s v="IGAM"/>
    <x v="0"/>
    <s v="Estimadas 960 horas de trabalho"/>
    <n v="960"/>
    <n v="120000"/>
    <m/>
    <m/>
    <m/>
    <m/>
    <m/>
    <m/>
    <m/>
    <m/>
    <m/>
    <m/>
    <m/>
    <m/>
    <m/>
    <m/>
    <m/>
    <m/>
    <m/>
    <m/>
    <m/>
    <m/>
    <m/>
    <m/>
    <m/>
    <m/>
    <m/>
    <m/>
    <m/>
    <m/>
    <m/>
    <m/>
  </r>
  <r>
    <x v="1"/>
    <x v="2"/>
    <x v="2"/>
    <x v="7"/>
    <x v="7"/>
    <n v="3"/>
    <s v="Instalação dos piezômetros"/>
    <s v="IGAM"/>
    <x v="2"/>
    <s v="-"/>
    <s v="-"/>
    <s v="-"/>
    <m/>
    <m/>
    <m/>
    <m/>
    <m/>
    <m/>
    <m/>
    <m/>
    <m/>
    <m/>
    <m/>
    <m/>
    <m/>
    <m/>
    <m/>
    <m/>
    <m/>
    <m/>
    <m/>
    <m/>
    <m/>
    <m/>
    <m/>
    <m/>
    <m/>
    <m/>
    <m/>
    <m/>
    <m/>
    <m/>
  </r>
  <r>
    <x v="1"/>
    <x v="2"/>
    <x v="2"/>
    <x v="7"/>
    <x v="7"/>
    <n v="4"/>
    <s v="Elaboração do modelo conceitual dos aquíferos selecionados"/>
    <s v="IGAM"/>
    <x v="1"/>
    <s v="Ver orçamento na planilha Ação 2.1.4."/>
    <s v="-"/>
    <n v="1188134"/>
    <m/>
    <m/>
    <m/>
    <m/>
    <m/>
    <m/>
    <m/>
    <m/>
    <m/>
    <m/>
    <m/>
    <m/>
    <m/>
    <m/>
    <m/>
    <m/>
    <m/>
    <m/>
    <m/>
    <m/>
    <m/>
    <m/>
    <m/>
    <m/>
    <m/>
    <m/>
    <m/>
    <m/>
    <m/>
    <m/>
  </r>
  <r>
    <x v="1"/>
    <x v="3"/>
    <x v="3"/>
    <x v="8"/>
    <x v="8"/>
    <n v="1"/>
    <s v="Formação de Grupo de Trabalho"/>
    <s v="SEMAD"/>
    <x v="0"/>
    <s v="Estimadas 160 horas de trabalho"/>
    <n v="160"/>
    <n v="20000"/>
    <m/>
    <m/>
    <m/>
    <m/>
    <m/>
    <m/>
    <m/>
    <m/>
    <m/>
    <m/>
    <m/>
    <m/>
    <m/>
    <m/>
    <m/>
    <m/>
    <m/>
    <m/>
    <m/>
    <m/>
    <m/>
    <m/>
    <m/>
    <m/>
    <m/>
    <m/>
    <m/>
    <m/>
    <m/>
    <m/>
  </r>
  <r>
    <x v="1"/>
    <x v="3"/>
    <x v="3"/>
    <x v="8"/>
    <x v="8"/>
    <n v="2"/>
    <s v="Identificação de oportunidades"/>
    <s v="SEMAD"/>
    <x v="0"/>
    <s v="Estimadas 960 horas de trabalho"/>
    <n v="960"/>
    <n v="120000"/>
    <m/>
    <m/>
    <m/>
    <m/>
    <m/>
    <m/>
    <m/>
    <m/>
    <m/>
    <m/>
    <m/>
    <m/>
    <m/>
    <m/>
    <m/>
    <m/>
    <m/>
    <m/>
    <m/>
    <m/>
    <m/>
    <m/>
    <m/>
    <m/>
    <m/>
    <m/>
    <m/>
    <m/>
    <m/>
    <m/>
  </r>
  <r>
    <x v="1"/>
    <x v="3"/>
    <x v="3"/>
    <x v="8"/>
    <x v="8"/>
    <n v="3"/>
    <s v="Criação de condicionantes no processo de licenciamento ambiental"/>
    <s v="SEMAD"/>
    <x v="0"/>
    <s v="Estimadas 960 horas de trabalho"/>
    <n v="960"/>
    <n v="120000"/>
    <m/>
    <m/>
    <m/>
    <m/>
    <m/>
    <m/>
    <m/>
    <m/>
    <m/>
    <m/>
    <m/>
    <m/>
    <m/>
    <m/>
    <m/>
    <m/>
    <m/>
    <m/>
    <m/>
    <m/>
    <m/>
    <m/>
    <m/>
    <m/>
    <m/>
    <m/>
    <m/>
    <m/>
    <m/>
    <m/>
  </r>
  <r>
    <x v="1"/>
    <x v="3"/>
    <x v="3"/>
    <x v="9"/>
    <x v="9"/>
    <n v="1"/>
    <s v="Formação de Grupo de Trabalho"/>
    <s v="FEAM e PBH"/>
    <x v="0"/>
    <s v="Estimadas 160 horas de trabalho"/>
    <n v="160"/>
    <n v="20000"/>
    <m/>
    <m/>
    <m/>
    <m/>
    <m/>
    <m/>
    <m/>
    <m/>
    <m/>
    <m/>
    <m/>
    <m/>
    <m/>
    <m/>
    <m/>
    <m/>
    <m/>
    <m/>
    <m/>
    <m/>
    <m/>
    <m/>
    <m/>
    <m/>
    <m/>
    <m/>
    <m/>
    <m/>
    <m/>
    <m/>
  </r>
  <r>
    <x v="1"/>
    <x v="3"/>
    <x v="3"/>
    <x v="9"/>
    <x v="9"/>
    <n v="2"/>
    <s v="Levantamento de dados e identificação de ameaças"/>
    <s v="FEAM e PBH"/>
    <x v="0"/>
    <s v="Estimadas 960 horas de trabalho"/>
    <n v="960"/>
    <n v="120000"/>
    <m/>
    <m/>
    <m/>
    <m/>
    <m/>
    <m/>
    <m/>
    <m/>
    <m/>
    <m/>
    <m/>
    <m/>
    <m/>
    <m/>
    <m/>
    <m/>
    <m/>
    <m/>
    <m/>
    <m/>
    <m/>
    <m/>
    <m/>
    <m/>
    <m/>
    <m/>
    <m/>
    <m/>
    <m/>
    <m/>
  </r>
  <r>
    <x v="1"/>
    <x v="3"/>
    <x v="3"/>
    <x v="9"/>
    <x v="9"/>
    <n v="3"/>
    <s v="Formulação de diretrizes para o Plano de Ação"/>
    <s v="FEAM e PBH"/>
    <x v="0"/>
    <s v="Estimadas 960 horas de trabalho"/>
    <n v="960"/>
    <n v="120000"/>
    <m/>
    <m/>
    <m/>
    <m/>
    <m/>
    <m/>
    <m/>
    <m/>
    <m/>
    <m/>
    <m/>
    <m/>
    <m/>
    <m/>
    <m/>
    <m/>
    <m/>
    <m/>
    <m/>
    <m/>
    <m/>
    <m/>
    <m/>
    <m/>
    <m/>
    <m/>
    <m/>
    <m/>
    <m/>
    <m/>
  </r>
  <r>
    <x v="1"/>
    <x v="3"/>
    <x v="3"/>
    <x v="9"/>
    <x v="9"/>
    <n v="4"/>
    <s v="Elaboração do Plano de Ação:"/>
    <s v="FEAM e PBH"/>
    <x v="0"/>
    <s v="Estimadas 960 horas de trabalho"/>
    <n v="960"/>
    <n v="120000"/>
    <m/>
    <m/>
    <m/>
    <m/>
    <m/>
    <m/>
    <m/>
    <m/>
    <m/>
    <m/>
    <m/>
    <m/>
    <m/>
    <m/>
    <m/>
    <m/>
    <m/>
    <m/>
    <m/>
    <m/>
    <m/>
    <m/>
    <m/>
    <m/>
    <m/>
    <m/>
    <m/>
    <m/>
    <m/>
    <m/>
  </r>
  <r>
    <x v="1"/>
    <x v="4"/>
    <x v="4"/>
    <x v="10"/>
    <x v="10"/>
    <n v="1"/>
    <s v="Formação de Grupo de Trabalho"/>
    <s v="SEMAD"/>
    <x v="0"/>
    <s v="Estimadas 160 horas de trabalho"/>
    <n v="160"/>
    <n v="20000"/>
    <m/>
    <m/>
    <m/>
    <m/>
    <m/>
    <m/>
    <m/>
    <m/>
    <m/>
    <m/>
    <m/>
    <m/>
    <m/>
    <m/>
    <m/>
    <m/>
    <m/>
    <m/>
    <m/>
    <m/>
    <m/>
    <m/>
    <m/>
    <m/>
    <m/>
    <m/>
    <m/>
    <m/>
    <m/>
    <m/>
  </r>
  <r>
    <x v="1"/>
    <x v="4"/>
    <x v="4"/>
    <x v="10"/>
    <x v="10"/>
    <n v="2"/>
    <s v="Elaboração do Plano de Fiscalização Ambiental Preventiva"/>
    <s v="SEMAD"/>
    <x v="0"/>
    <s v="Estimadas 960 horas de trabalho"/>
    <n v="960"/>
    <n v="120000"/>
    <m/>
    <m/>
    <m/>
    <m/>
    <m/>
    <m/>
    <m/>
    <m/>
    <m/>
    <m/>
    <m/>
    <m/>
    <m/>
    <m/>
    <m/>
    <m/>
    <m/>
    <m/>
    <m/>
    <m/>
    <m/>
    <m/>
    <m/>
    <m/>
    <m/>
    <m/>
    <m/>
    <m/>
    <m/>
    <m/>
  </r>
  <r>
    <x v="1"/>
    <x v="4"/>
    <x v="4"/>
    <x v="10"/>
    <x v="10"/>
    <n v="3"/>
    <s v="Capacitação e treinamento"/>
    <s v="SEMAD"/>
    <x v="0"/>
    <s v="Estimadas 160 horas de trabalho"/>
    <n v="160"/>
    <n v="20000"/>
    <m/>
    <m/>
    <m/>
    <m/>
    <m/>
    <m/>
    <m/>
    <m/>
    <m/>
    <m/>
    <m/>
    <m/>
    <m/>
    <m/>
    <m/>
    <m/>
    <m/>
    <m/>
    <m/>
    <m/>
    <m/>
    <m/>
    <m/>
    <m/>
    <m/>
    <m/>
    <m/>
    <m/>
    <m/>
    <m/>
  </r>
  <r>
    <x v="1"/>
    <x v="4"/>
    <x v="4"/>
    <x v="10"/>
    <x v="10"/>
    <n v="4"/>
    <s v="Implementação e monitoramento"/>
    <s v="SEMAD"/>
    <x v="0"/>
    <s v="-"/>
    <s v="-"/>
    <s v="-"/>
    <m/>
    <m/>
    <m/>
    <m/>
    <m/>
    <m/>
    <m/>
    <m/>
    <m/>
    <m/>
    <m/>
    <m/>
    <m/>
    <m/>
    <m/>
    <m/>
    <m/>
    <m/>
    <m/>
    <m/>
    <m/>
    <m/>
    <m/>
    <m/>
    <m/>
    <m/>
    <m/>
    <m/>
    <m/>
    <m/>
  </r>
  <r>
    <x v="1"/>
    <x v="4"/>
    <x v="4"/>
    <x v="11"/>
    <x v="11"/>
    <n v="1"/>
    <s v="Formação de Grupo de Trabalho"/>
    <s v="SEMAD"/>
    <x v="0"/>
    <s v="Estimadas 160 horas de trabalho"/>
    <n v="160"/>
    <n v="20000"/>
    <m/>
    <m/>
    <m/>
    <m/>
    <m/>
    <m/>
    <m/>
    <m/>
    <m/>
    <m/>
    <m/>
    <m/>
    <m/>
    <m/>
    <m/>
    <m/>
    <m/>
    <m/>
    <m/>
    <m/>
    <m/>
    <m/>
    <m/>
    <m/>
    <m/>
    <m/>
    <m/>
    <m/>
    <m/>
    <m/>
  </r>
  <r>
    <x v="1"/>
    <x v="4"/>
    <x v="4"/>
    <x v="11"/>
    <x v="11"/>
    <n v="2"/>
    <s v="Criação do Programa Estadual de Certificação Ambiental"/>
    <s v="SEMAD"/>
    <x v="0"/>
    <s v="Estimadas 960 horas de trabalho"/>
    <n v="960"/>
    <n v="120000"/>
    <m/>
    <m/>
    <m/>
    <m/>
    <m/>
    <m/>
    <m/>
    <m/>
    <m/>
    <m/>
    <m/>
    <m/>
    <m/>
    <m/>
    <m/>
    <m/>
    <m/>
    <m/>
    <m/>
    <m/>
    <m/>
    <m/>
    <m/>
    <m/>
    <m/>
    <m/>
    <m/>
    <m/>
    <m/>
    <m/>
  </r>
  <r>
    <x v="1"/>
    <x v="4"/>
    <x v="4"/>
    <x v="11"/>
    <x v="11"/>
    <n v="3"/>
    <s v="Implementação do Programa de Certificação Ambiental"/>
    <s v="SEMAD"/>
    <x v="0"/>
    <s v="Estimadas 640 horas de trabalho"/>
    <n v="640"/>
    <n v="80000"/>
    <m/>
    <m/>
    <m/>
    <m/>
    <m/>
    <m/>
    <m/>
    <m/>
    <m/>
    <m/>
    <m/>
    <m/>
    <m/>
    <m/>
    <m/>
    <m/>
    <m/>
    <m/>
    <m/>
    <m/>
    <m/>
    <m/>
    <m/>
    <m/>
    <m/>
    <m/>
    <m/>
    <m/>
    <m/>
    <m/>
  </r>
  <r>
    <x v="1"/>
    <x v="4"/>
    <x v="4"/>
    <x v="11"/>
    <x v="11"/>
    <n v="4"/>
    <s v="Validação da certificação"/>
    <s v="SEMAD"/>
    <x v="0"/>
    <s v="-"/>
    <s v="-"/>
    <s v="-"/>
    <m/>
    <m/>
    <m/>
    <m/>
    <m/>
    <m/>
    <m/>
    <m/>
    <m/>
    <m/>
    <m/>
    <m/>
    <m/>
    <m/>
    <m/>
    <m/>
    <m/>
    <m/>
    <m/>
    <m/>
    <m/>
    <m/>
    <m/>
    <m/>
    <m/>
    <m/>
    <m/>
    <m/>
    <m/>
    <m/>
  </r>
  <r>
    <x v="2"/>
    <x v="5"/>
    <x v="5"/>
    <x v="12"/>
    <x v="12"/>
    <n v="1"/>
    <s v="Elaboração de Termo de Referência"/>
    <s v="SEINFRA"/>
    <x v="0"/>
    <s v="Estimadas 150 horas de trabalho"/>
    <n v="150"/>
    <n v="18750"/>
    <m/>
    <m/>
    <m/>
    <m/>
    <m/>
    <m/>
    <m/>
    <m/>
    <m/>
    <m/>
    <m/>
    <m/>
    <m/>
    <m/>
    <m/>
    <m/>
    <m/>
    <m/>
    <m/>
    <m/>
    <m/>
    <m/>
    <m/>
    <m/>
    <m/>
    <m/>
    <m/>
    <m/>
    <m/>
    <m/>
  </r>
  <r>
    <x v="2"/>
    <x v="5"/>
    <x v="5"/>
    <x v="12"/>
    <x v="12"/>
    <n v="2"/>
    <s v="Licitação e contratação"/>
    <s v="SEINFRA"/>
    <x v="0"/>
    <s v="Estimadas 250 horas de trabalho"/>
    <n v="250"/>
    <n v="31250"/>
    <m/>
    <m/>
    <m/>
    <m/>
    <m/>
    <m/>
    <m/>
    <m/>
    <m/>
    <m/>
    <m/>
    <m/>
    <m/>
    <m/>
    <m/>
    <m/>
    <m/>
    <m/>
    <m/>
    <m/>
    <m/>
    <m/>
    <m/>
    <m/>
    <m/>
    <m/>
    <m/>
    <m/>
    <m/>
    <m/>
  </r>
  <r>
    <x v="2"/>
    <x v="5"/>
    <x v="5"/>
    <x v="12"/>
    <x v="12"/>
    <n v="3"/>
    <s v="Elaboração do Estudo de Alternativas"/>
    <s v="SEINFRA"/>
    <x v="1"/>
    <s v="Ver orçamento na planilha Ação 3.1.1"/>
    <s v="-"/>
    <n v="2752486"/>
    <m/>
    <m/>
    <m/>
    <m/>
    <m/>
    <m/>
    <m/>
    <m/>
    <m/>
    <m/>
    <m/>
    <m/>
    <m/>
    <m/>
    <m/>
    <m/>
    <m/>
    <m/>
    <m/>
    <m/>
    <m/>
    <m/>
    <m/>
    <m/>
    <m/>
    <m/>
    <m/>
    <m/>
    <m/>
    <m/>
  </r>
  <r>
    <x v="2"/>
    <x v="5"/>
    <x v="5"/>
    <x v="13"/>
    <x v="13"/>
    <n v="1"/>
    <s v="Elaboração de Termo de Referência"/>
    <s v="IGAM"/>
    <x v="0"/>
    <s v="Estimadas 150 horas de trabalho"/>
    <n v="150"/>
    <n v="18750"/>
    <m/>
    <m/>
    <m/>
    <m/>
    <m/>
    <m/>
    <m/>
    <m/>
    <m/>
    <m/>
    <m/>
    <m/>
    <m/>
    <m/>
    <m/>
    <m/>
    <m/>
    <m/>
    <m/>
    <m/>
    <m/>
    <m/>
    <m/>
    <m/>
    <m/>
    <m/>
    <m/>
    <m/>
    <m/>
    <m/>
  </r>
  <r>
    <x v="2"/>
    <x v="5"/>
    <x v="5"/>
    <x v="13"/>
    <x v="13"/>
    <n v="2"/>
    <s v="Licitação e contratação"/>
    <s v="IGAM"/>
    <x v="0"/>
    <s v="Estimadas 250 horas de trabalho"/>
    <n v="250"/>
    <n v="31250"/>
    <m/>
    <m/>
    <m/>
    <m/>
    <m/>
    <m/>
    <m/>
    <m/>
    <m/>
    <m/>
    <m/>
    <m/>
    <m/>
    <m/>
    <m/>
    <m/>
    <m/>
    <m/>
    <m/>
    <m/>
    <m/>
    <m/>
    <m/>
    <m/>
    <m/>
    <m/>
    <m/>
    <m/>
    <m/>
    <m/>
  </r>
  <r>
    <x v="2"/>
    <x v="5"/>
    <x v="5"/>
    <x v="13"/>
    <x v="13"/>
    <n v="3"/>
    <s v="Elaboração do Estudo"/>
    <s v="IGAM"/>
    <x v="1"/>
    <s v="Ver orçamento na planilha Ação 3.1.2"/>
    <s v="-"/>
    <n v="1285169"/>
    <m/>
    <m/>
    <m/>
    <m/>
    <m/>
    <m/>
    <m/>
    <m/>
    <m/>
    <m/>
    <m/>
    <m/>
    <m/>
    <m/>
    <m/>
    <m/>
    <m/>
    <m/>
    <m/>
    <m/>
    <m/>
    <m/>
    <m/>
    <m/>
    <m/>
    <m/>
    <m/>
    <m/>
    <m/>
    <m/>
  </r>
  <r>
    <x v="2"/>
    <x v="5"/>
    <x v="5"/>
    <x v="14"/>
    <x v="14"/>
    <n v="1"/>
    <s v="Elaboração de Termo de Referência"/>
    <s v="SEMAD"/>
    <x v="0"/>
    <s v="Estimadas 150 horas de trabalho"/>
    <n v="150"/>
    <n v="18750"/>
    <m/>
    <m/>
    <m/>
    <m/>
    <m/>
    <m/>
    <m/>
    <m/>
    <m/>
    <m/>
    <m/>
    <m/>
    <m/>
    <m/>
    <m/>
    <m/>
    <m/>
    <m/>
    <m/>
    <m/>
    <m/>
    <m/>
    <m/>
    <m/>
    <m/>
    <m/>
    <m/>
    <m/>
    <m/>
    <m/>
  </r>
  <r>
    <x v="2"/>
    <x v="5"/>
    <x v="5"/>
    <x v="14"/>
    <x v="14"/>
    <n v="2"/>
    <s v="Licitação e contratação de consultoria especializada"/>
    <s v="SEMAD"/>
    <x v="0"/>
    <s v="Estimadas 250 horas de trabalho"/>
    <n v="250"/>
    <n v="31250"/>
    <m/>
    <m/>
    <m/>
    <m/>
    <m/>
    <m/>
    <m/>
    <m/>
    <m/>
    <m/>
    <m/>
    <m/>
    <m/>
    <m/>
    <m/>
    <m/>
    <m/>
    <m/>
    <m/>
    <m/>
    <m/>
    <m/>
    <m/>
    <m/>
    <m/>
    <m/>
    <m/>
    <m/>
    <m/>
    <m/>
  </r>
  <r>
    <x v="2"/>
    <x v="5"/>
    <x v="5"/>
    <x v="14"/>
    <x v="14"/>
    <n v="3"/>
    <s v="Desenvolvimento de Sistema de Gestão de Riscos da Infraestrutura Hídrica"/>
    <s v="SEMAD"/>
    <x v="1"/>
    <s v="Ver orçamento na planilha Ação 3.1.3"/>
    <s v="-"/>
    <n v="3107460"/>
    <m/>
    <m/>
    <m/>
    <m/>
    <m/>
    <m/>
    <m/>
    <m/>
    <m/>
    <m/>
    <m/>
    <m/>
    <m/>
    <m/>
    <m/>
    <m/>
    <m/>
    <m/>
    <m/>
    <m/>
    <m/>
    <m/>
    <m/>
    <m/>
    <m/>
    <m/>
    <m/>
    <m/>
    <m/>
    <m/>
  </r>
  <r>
    <x v="2"/>
    <x v="5"/>
    <x v="5"/>
    <x v="14"/>
    <x v="14"/>
    <n v="4"/>
    <s v="Operacionalização do Sistema de Gestão de Riscos da Infraestrutura Hídrica"/>
    <s v="SEMAD"/>
    <x v="0"/>
    <s v="-"/>
    <s v="-"/>
    <s v="-"/>
    <m/>
    <m/>
    <m/>
    <m/>
    <m/>
    <m/>
    <m/>
    <m/>
    <m/>
    <m/>
    <m/>
    <m/>
    <m/>
    <m/>
    <m/>
    <m/>
    <m/>
    <m/>
    <m/>
    <m/>
    <m/>
    <m/>
    <m/>
    <m/>
    <m/>
    <m/>
    <m/>
    <m/>
    <m/>
    <m/>
  </r>
  <r>
    <x v="2"/>
    <x v="5"/>
    <x v="5"/>
    <x v="15"/>
    <x v="15"/>
    <n v="1"/>
    <s v="Conclusão dos projetos e obras de abastecimento de água em andamento"/>
    <s v="SEINFRA"/>
    <x v="2"/>
    <s v="Soma do valor das obras em andamento"/>
    <s v="-"/>
    <n v="1310000000"/>
    <m/>
    <m/>
    <m/>
    <m/>
    <m/>
    <m/>
    <m/>
    <m/>
    <m/>
    <m/>
    <m/>
    <m/>
    <m/>
    <m/>
    <m/>
    <m/>
    <m/>
    <m/>
    <m/>
    <m/>
    <m/>
    <m/>
    <m/>
    <m/>
    <m/>
    <m/>
    <m/>
    <m/>
    <m/>
    <m/>
  </r>
  <r>
    <x v="2"/>
    <x v="5"/>
    <x v="5"/>
    <x v="15"/>
    <x v="15"/>
    <n v="2"/>
    <s v="Realização de estudos de concepção, estudos de viabilidade e anteprojetos "/>
    <s v="SEINFRA"/>
    <x v="1"/>
    <s v="Ver orçamento na planilha Ação 3.1.4. Considerado 30% do valor orçado para estudos e projetos."/>
    <s v="-"/>
    <n v="10930540.77"/>
    <m/>
    <m/>
    <m/>
    <m/>
    <m/>
    <m/>
    <m/>
    <m/>
    <m/>
    <m/>
    <m/>
    <m/>
    <m/>
    <m/>
    <m/>
    <m/>
    <m/>
    <m/>
    <m/>
    <m/>
    <m/>
    <m/>
    <m/>
    <m/>
    <m/>
    <m/>
    <m/>
    <m/>
    <m/>
    <m/>
  </r>
  <r>
    <x v="2"/>
    <x v="5"/>
    <x v="5"/>
    <x v="15"/>
    <x v="15"/>
    <n v="3"/>
    <s v="Elaboração de projetos básicos e executivos "/>
    <s v="SEINFRA"/>
    <x v="1"/>
    <s v="Ver orçamento na planilha Ação 3.1.4. Considerado 70% do valor orçado para estudos e projetos."/>
    <s v="-"/>
    <n v="25504595.129999999"/>
    <m/>
    <m/>
    <m/>
    <m/>
    <m/>
    <m/>
    <m/>
    <m/>
    <m/>
    <m/>
    <m/>
    <m/>
    <m/>
    <m/>
    <m/>
    <m/>
    <m/>
    <m/>
    <m/>
    <m/>
    <m/>
    <m/>
    <m/>
    <m/>
    <m/>
    <m/>
    <m/>
    <m/>
    <m/>
    <m/>
  </r>
  <r>
    <x v="2"/>
    <x v="5"/>
    <x v="5"/>
    <x v="15"/>
    <x v="15"/>
    <n v="4"/>
    <s v="Execução das obras de ampliação dos sistemas de abastecimento de água."/>
    <s v="SEINFRA"/>
    <x v="2"/>
    <s v="Ver orçamento na planilha Ação 3.3.2. Considerado o valor total orçado para obras."/>
    <s v="-"/>
    <n v="327916223.10000002"/>
    <m/>
    <m/>
    <m/>
    <m/>
    <m/>
    <m/>
    <m/>
    <m/>
    <m/>
    <m/>
    <m/>
    <m/>
    <m/>
    <m/>
    <m/>
    <m/>
    <m/>
    <m/>
    <m/>
    <m/>
    <m/>
    <m/>
    <m/>
    <m/>
    <m/>
    <m/>
    <m/>
    <m/>
    <m/>
    <m/>
  </r>
  <r>
    <x v="2"/>
    <x v="6"/>
    <x v="6"/>
    <x v="16"/>
    <x v="16"/>
    <n v="1"/>
    <s v="Concepção do apoio institucional"/>
    <s v="SEINFRA"/>
    <x v="0"/>
    <s v="Ver orçamento na planilha Ação 3.2.2. Considerado 50% do valor orçado para apoio institucional."/>
    <s v="-"/>
    <n v="3798682"/>
    <m/>
    <m/>
    <m/>
    <m/>
    <m/>
    <m/>
    <m/>
    <m/>
    <m/>
    <m/>
    <m/>
    <m/>
    <m/>
    <m/>
    <m/>
    <m/>
    <m/>
    <m/>
    <m/>
    <m/>
    <m/>
    <m/>
    <m/>
    <m/>
    <m/>
    <m/>
    <m/>
    <m/>
    <m/>
    <m/>
  </r>
  <r>
    <x v="2"/>
    <x v="6"/>
    <x v="6"/>
    <x v="16"/>
    <x v="16"/>
    <n v="2"/>
    <s v="Implementação do apoio institucional"/>
    <s v="SEINFRA"/>
    <x v="0"/>
    <s v="Ver orçamento na planilha Ação 3.2.2. Considerado 50% do valor orçado para apoio institucional."/>
    <s v="-"/>
    <n v="3798682"/>
    <m/>
    <m/>
    <m/>
    <m/>
    <m/>
    <m/>
    <m/>
    <m/>
    <m/>
    <m/>
    <m/>
    <m/>
    <m/>
    <m/>
    <m/>
    <m/>
    <m/>
    <m/>
    <m/>
    <m/>
    <m/>
    <m/>
    <m/>
    <m/>
    <m/>
    <m/>
    <m/>
    <m/>
    <m/>
    <m/>
  </r>
  <r>
    <x v="2"/>
    <x v="6"/>
    <x v="6"/>
    <x v="17"/>
    <x v="17"/>
    <n v="1"/>
    <s v="Constituição de DMC – Distritos de Medição e Controle"/>
    <s v="Operadores"/>
    <x v="1"/>
    <s v="Ver orçamento na planilha Ação 3.2.2.  Para constituição de DMC foi considerado 4% do valor total do Programa"/>
    <s v="-"/>
    <n v="15194727.560000001"/>
    <m/>
    <m/>
    <m/>
    <m/>
    <m/>
    <m/>
    <m/>
    <m/>
    <m/>
    <m/>
    <m/>
    <m/>
    <m/>
    <m/>
    <m/>
    <m/>
    <m/>
    <m/>
    <m/>
    <m/>
    <m/>
    <m/>
    <m/>
    <m/>
    <m/>
    <m/>
    <m/>
    <m/>
    <m/>
    <m/>
  </r>
  <r>
    <x v="2"/>
    <x v="6"/>
    <x v="6"/>
    <x v="17"/>
    <x v="17"/>
    <n v="2"/>
    <s v="Pactuação de valores físicos e financeiros a serem praticados"/>
    <s v="SEINFRA"/>
    <x v="0"/>
    <s v="Ver orçamento na planilha Ação 3.2.2. Para pactuação de valores físicos e financeiros foi consideado 1% do valor total do Programa"/>
    <s v="-"/>
    <n v="3798681.89"/>
    <m/>
    <m/>
    <m/>
    <m/>
    <m/>
    <m/>
    <m/>
    <m/>
    <m/>
    <m/>
    <m/>
    <m/>
    <m/>
    <m/>
    <m/>
    <m/>
    <m/>
    <m/>
    <m/>
    <m/>
    <m/>
    <m/>
    <m/>
    <m/>
    <m/>
    <m/>
    <m/>
    <m/>
    <m/>
    <m/>
  </r>
  <r>
    <x v="2"/>
    <x v="6"/>
    <x v="6"/>
    <x v="17"/>
    <x v="17"/>
    <n v="3"/>
    <s v="Implementação do Programa de Pagamento por Resultados"/>
    <s v="Operadores"/>
    <x v="2"/>
    <s v="Ver orçamento na planilha Ação 3.2.2. Para implementação do programa foi considerado 95% do valor total do Programa"/>
    <s v="-"/>
    <n v="360874779.55000001"/>
    <m/>
    <m/>
    <m/>
    <m/>
    <m/>
    <m/>
    <m/>
    <m/>
    <m/>
    <m/>
    <m/>
    <m/>
    <m/>
    <m/>
    <m/>
    <m/>
    <m/>
    <m/>
    <m/>
    <m/>
    <m/>
    <m/>
    <m/>
    <m/>
    <m/>
    <m/>
    <m/>
    <m/>
    <m/>
    <m/>
  </r>
  <r>
    <x v="2"/>
    <x v="7"/>
    <x v="7"/>
    <x v="18"/>
    <x v="18"/>
    <n v="1"/>
    <s v="Elaboração de Termos de Referência"/>
    <s v="SEMAD"/>
    <x v="0"/>
    <s v="Estimadas 150 horas de trabalho"/>
    <n v="150"/>
    <n v="18750"/>
    <m/>
    <m/>
    <m/>
    <m/>
    <m/>
    <m/>
    <m/>
    <m/>
    <m/>
    <m/>
    <m/>
    <m/>
    <m/>
    <m/>
    <m/>
    <m/>
    <m/>
    <m/>
    <m/>
    <m/>
    <m/>
    <m/>
    <m/>
    <m/>
    <m/>
    <m/>
    <m/>
    <m/>
    <m/>
    <m/>
  </r>
  <r>
    <x v="2"/>
    <x v="7"/>
    <x v="7"/>
    <x v="18"/>
    <x v="18"/>
    <n v="2"/>
    <s v="Licitação e contratação"/>
    <s v="SEMAD"/>
    <x v="0"/>
    <s v="Estimadas 250 horas de trabalho"/>
    <n v="250"/>
    <n v="31250"/>
    <m/>
    <m/>
    <m/>
    <m/>
    <m/>
    <m/>
    <m/>
    <m/>
    <m/>
    <m/>
    <m/>
    <m/>
    <m/>
    <m/>
    <m/>
    <m/>
    <m/>
    <m/>
    <m/>
    <m/>
    <m/>
    <m/>
    <m/>
    <m/>
    <m/>
    <m/>
    <m/>
    <m/>
    <m/>
    <m/>
  </r>
  <r>
    <x v="2"/>
    <x v="7"/>
    <x v="7"/>
    <x v="18"/>
    <x v="18"/>
    <n v="3"/>
    <s v="Elaboração dos Planos Municipais de Saneamento Básico"/>
    <s v="SEMAD"/>
    <x v="1"/>
    <s v="Considerado o custo de R$ 500.0000 por PMSB e 11 PMSBs contratados"/>
    <s v="-"/>
    <n v="5500000"/>
    <m/>
    <m/>
    <m/>
    <m/>
    <m/>
    <m/>
    <m/>
    <m/>
    <m/>
    <m/>
    <m/>
    <m/>
    <m/>
    <m/>
    <m/>
    <m/>
    <m/>
    <m/>
    <m/>
    <m/>
    <m/>
    <m/>
    <m/>
    <m/>
    <m/>
    <m/>
    <m/>
    <m/>
    <m/>
    <m/>
  </r>
  <r>
    <x v="2"/>
    <x v="7"/>
    <x v="7"/>
    <x v="18"/>
    <x v="18"/>
    <n v="4"/>
    <s v="Aprovação e implementação dos Planos"/>
    <s v="Municípios"/>
    <x v="0"/>
    <s v="-"/>
    <s v="-"/>
    <s v="-"/>
    <m/>
    <m/>
    <m/>
    <m/>
    <m/>
    <m/>
    <m/>
    <m/>
    <m/>
    <m/>
    <m/>
    <m/>
    <m/>
    <m/>
    <m/>
    <m/>
    <m/>
    <m/>
    <m/>
    <m/>
    <m/>
    <m/>
    <m/>
    <m/>
    <m/>
    <m/>
    <m/>
    <m/>
    <m/>
    <m/>
  </r>
  <r>
    <x v="2"/>
    <x v="7"/>
    <x v="7"/>
    <x v="19"/>
    <x v="19"/>
    <n v="1"/>
    <s v="Conclusão dos projetos e obras de esgotamento sanitário em andamento"/>
    <s v="SEINFRA"/>
    <x v="2"/>
    <s v="Soma do valor das obras em andamento"/>
    <s v="-"/>
    <n v="391000000"/>
    <m/>
    <m/>
    <m/>
    <m/>
    <m/>
    <m/>
    <m/>
    <m/>
    <m/>
    <m/>
    <m/>
    <m/>
    <m/>
    <m/>
    <m/>
    <m/>
    <m/>
    <m/>
    <m/>
    <m/>
    <m/>
    <m/>
    <m/>
    <m/>
    <m/>
    <m/>
    <m/>
    <m/>
    <m/>
    <m/>
  </r>
  <r>
    <x v="2"/>
    <x v="7"/>
    <x v="7"/>
    <x v="19"/>
    <x v="19"/>
    <n v="2"/>
    <s v="Realização de estudos de concepção, estudos de viabilidade e anteprojetos "/>
    <s v="SEINFRA"/>
    <x v="1"/>
    <s v="Ver orçamento na planilha Ação 3.3.2. Considerado 30% do valor orçado para estudos e projetos."/>
    <s v="-"/>
    <n v="26787826.800000001"/>
    <m/>
    <m/>
    <m/>
    <m/>
    <m/>
    <m/>
    <m/>
    <m/>
    <m/>
    <m/>
    <m/>
    <m/>
    <m/>
    <m/>
    <m/>
    <m/>
    <m/>
    <m/>
    <m/>
    <m/>
    <m/>
    <m/>
    <m/>
    <m/>
    <m/>
    <m/>
    <m/>
    <m/>
    <m/>
    <m/>
  </r>
  <r>
    <x v="2"/>
    <x v="7"/>
    <x v="7"/>
    <x v="19"/>
    <x v="19"/>
    <n v="3"/>
    <s v="Elaboração de projetos básicos e executivos "/>
    <s v="SEINFRA"/>
    <x v="1"/>
    <s v="Ver orçamento na planilha Ação 3.3.2. Considerado 70% do valor orçado para estudos e projetos."/>
    <s v="-"/>
    <n v="62504929.199999996"/>
    <m/>
    <m/>
    <m/>
    <m/>
    <m/>
    <m/>
    <m/>
    <m/>
    <m/>
    <m/>
    <m/>
    <m/>
    <m/>
    <m/>
    <m/>
    <m/>
    <m/>
    <m/>
    <m/>
    <m/>
    <m/>
    <m/>
    <m/>
    <m/>
    <m/>
    <m/>
    <m/>
    <m/>
    <m/>
    <m/>
  </r>
  <r>
    <x v="2"/>
    <x v="7"/>
    <x v="7"/>
    <x v="19"/>
    <x v="19"/>
    <n v="4"/>
    <s v="Execução das obras de ampliação dos sistemas de coleta e tratamento de esgotos"/>
    <s v="SEINFRA"/>
    <x v="2"/>
    <s v="Ver orçamento na planilha Ação 3.3.2. Considerado o valor total orçado para obras."/>
    <s v="-"/>
    <n v="1785855113"/>
    <m/>
    <m/>
    <m/>
    <m/>
    <m/>
    <m/>
    <m/>
    <m/>
    <m/>
    <m/>
    <m/>
    <m/>
    <m/>
    <m/>
    <m/>
    <m/>
    <m/>
    <m/>
    <m/>
    <m/>
    <m/>
    <m/>
    <m/>
    <m/>
    <m/>
    <m/>
    <m/>
    <m/>
    <m/>
    <m/>
  </r>
  <r>
    <x v="2"/>
    <x v="7"/>
    <x v="7"/>
    <x v="20"/>
    <x v="20"/>
    <n v="1"/>
    <s v="Elaboração de Termo de Referência"/>
    <s v="SEMAD"/>
    <x v="0"/>
    <s v="Estimadas 150 horas de trabalho"/>
    <n v="150"/>
    <n v="18750"/>
    <m/>
    <m/>
    <m/>
    <m/>
    <m/>
    <m/>
    <m/>
    <m/>
    <m/>
    <m/>
    <m/>
    <m/>
    <m/>
    <m/>
    <m/>
    <m/>
    <m/>
    <m/>
    <m/>
    <m/>
    <m/>
    <m/>
    <m/>
    <m/>
    <m/>
    <m/>
    <m/>
    <m/>
    <m/>
    <m/>
  </r>
  <r>
    <x v="2"/>
    <x v="7"/>
    <x v="7"/>
    <x v="20"/>
    <x v="20"/>
    <n v="2"/>
    <s v="Licitação e contratação"/>
    <s v="SEMAD"/>
    <x v="0"/>
    <s v="Estimadas 250 horas de trabalho"/>
    <n v="250"/>
    <n v="31250"/>
    <m/>
    <m/>
    <m/>
    <m/>
    <m/>
    <m/>
    <m/>
    <m/>
    <m/>
    <m/>
    <m/>
    <m/>
    <m/>
    <m/>
    <m/>
    <m/>
    <m/>
    <m/>
    <m/>
    <m/>
    <m/>
    <m/>
    <m/>
    <m/>
    <m/>
    <m/>
    <m/>
    <m/>
    <m/>
    <m/>
  </r>
  <r>
    <x v="2"/>
    <x v="7"/>
    <x v="7"/>
    <x v="20"/>
    <x v="20"/>
    <n v="3"/>
    <s v="Elaboração do Estudo de Viabilidade"/>
    <s v="SEMAD"/>
    <x v="1"/>
    <s v="Ver orçamento na planilha Ação 3.3.3"/>
    <m/>
    <n v="1568350"/>
    <m/>
    <m/>
    <m/>
    <m/>
    <m/>
    <m/>
    <m/>
    <m/>
    <m/>
    <m/>
    <m/>
    <m/>
    <m/>
    <m/>
    <m/>
    <m/>
    <m/>
    <m/>
    <m/>
    <m/>
    <m/>
    <m/>
    <m/>
    <m/>
    <m/>
    <m/>
    <m/>
    <m/>
    <m/>
    <m/>
  </r>
  <r>
    <x v="2"/>
    <x v="8"/>
    <x v="8"/>
    <x v="21"/>
    <x v="21"/>
    <n v="1"/>
    <s v="Identificação de municípios que necessitam de assistência técnica"/>
    <s v="FEAM"/>
    <x v="0"/>
    <s v="Estimadas 320 horas de trabalho"/>
    <n v="320"/>
    <n v="40000"/>
    <m/>
    <m/>
    <m/>
    <m/>
    <m/>
    <m/>
    <m/>
    <m/>
    <m/>
    <m/>
    <m/>
    <m/>
    <m/>
    <m/>
    <m/>
    <m/>
    <m/>
    <m/>
    <m/>
    <m/>
    <m/>
    <m/>
    <m/>
    <m/>
    <m/>
    <m/>
    <m/>
    <m/>
    <m/>
    <m/>
  </r>
  <r>
    <x v="2"/>
    <x v="8"/>
    <x v="8"/>
    <x v="21"/>
    <x v="21"/>
    <n v="2"/>
    <s v="Fornecimento de assistência técnica"/>
    <s v="FEAM"/>
    <x v="0"/>
    <s v="Estimadas 1920 horas de trabalho"/>
    <n v="1920"/>
    <n v="240000"/>
    <m/>
    <m/>
    <m/>
    <m/>
    <m/>
    <m/>
    <m/>
    <m/>
    <m/>
    <m/>
    <m/>
    <m/>
    <m/>
    <m/>
    <m/>
    <m/>
    <m/>
    <m/>
    <m/>
    <m/>
    <m/>
    <m/>
    <m/>
    <m/>
    <m/>
    <m/>
    <m/>
    <m/>
    <m/>
    <m/>
  </r>
  <r>
    <x v="2"/>
    <x v="8"/>
    <x v="8"/>
    <x v="21"/>
    <x v="21"/>
    <n v="3"/>
    <s v="Acompanhamento das ações de recuperação das áreas degradadas"/>
    <s v="FEAM"/>
    <x v="0"/>
    <s v="-"/>
    <s v="-"/>
    <s v="-"/>
    <m/>
    <m/>
    <m/>
    <m/>
    <m/>
    <m/>
    <m/>
    <m/>
    <m/>
    <m/>
    <m/>
    <m/>
    <m/>
    <m/>
    <m/>
    <m/>
    <m/>
    <m/>
    <m/>
    <m/>
    <m/>
    <m/>
    <m/>
    <m/>
    <m/>
    <m/>
    <m/>
    <m/>
    <m/>
    <m/>
  </r>
  <r>
    <x v="2"/>
    <x v="8"/>
    <x v="8"/>
    <x v="22"/>
    <x v="22"/>
    <n v="1"/>
    <s v="Divulgação e apresentação dos resultados do PSH-RMBH"/>
    <s v="FEAM"/>
    <x v="0"/>
    <s v="Estimadas 160 horas de trabalho"/>
    <n v="160"/>
    <n v="20000"/>
    <m/>
    <m/>
    <m/>
    <m/>
    <m/>
    <m/>
    <m/>
    <m/>
    <m/>
    <m/>
    <m/>
    <m/>
    <m/>
    <m/>
    <m/>
    <m/>
    <m/>
    <m/>
    <m/>
    <m/>
    <m/>
    <m/>
    <m/>
    <m/>
    <m/>
    <m/>
    <m/>
    <m/>
    <m/>
    <m/>
  </r>
  <r>
    <x v="2"/>
    <x v="8"/>
    <x v="8"/>
    <x v="22"/>
    <x v="22"/>
    <n v="2"/>
    <s v="Pactuação de estratégias e ações "/>
    <s v="FEAM"/>
    <x v="0"/>
    <s v="Estimadas 480 horas de trabalho"/>
    <n v="480"/>
    <n v="60000"/>
    <m/>
    <m/>
    <m/>
    <m/>
    <m/>
    <m/>
    <m/>
    <m/>
    <m/>
    <m/>
    <m/>
    <m/>
    <m/>
    <m/>
    <m/>
    <m/>
    <m/>
    <m/>
    <m/>
    <m/>
    <m/>
    <m/>
    <m/>
    <m/>
    <m/>
    <m/>
    <m/>
    <m/>
    <m/>
    <m/>
  </r>
  <r>
    <x v="2"/>
    <x v="8"/>
    <x v="8"/>
    <x v="22"/>
    <x v="22"/>
    <n v="3"/>
    <s v="Acompanhamento da implementação das ações "/>
    <s v="FEAM"/>
    <x v="0"/>
    <s v="-"/>
    <s v="-"/>
    <s v="-"/>
    <m/>
    <m/>
    <m/>
    <m/>
    <m/>
    <m/>
    <m/>
    <m/>
    <m/>
    <m/>
    <m/>
    <m/>
    <m/>
    <m/>
    <m/>
    <m/>
    <m/>
    <m/>
    <m/>
    <m/>
    <m/>
    <m/>
    <m/>
    <m/>
    <m/>
    <m/>
    <m/>
    <m/>
    <m/>
    <m/>
  </r>
  <r>
    <x v="2"/>
    <x v="8"/>
    <x v="8"/>
    <x v="22"/>
    <x v="22"/>
    <n v="4"/>
    <s v="Incentivo a ações de limpeza e despoluição dos rios"/>
    <s v="FEAM"/>
    <x v="0"/>
    <s v="Estimadas 1440 horas de trabalho"/>
    <n v="1440"/>
    <n v="180000"/>
    <m/>
    <m/>
    <m/>
    <m/>
    <m/>
    <m/>
    <m/>
    <m/>
    <m/>
    <m/>
    <m/>
    <m/>
    <m/>
    <m/>
    <m/>
    <m/>
    <m/>
    <m/>
    <m/>
    <m/>
    <m/>
    <m/>
    <m/>
    <m/>
    <m/>
    <m/>
    <m/>
    <m/>
    <m/>
    <m/>
  </r>
  <r>
    <x v="3"/>
    <x v="9"/>
    <x v="9"/>
    <x v="23"/>
    <x v="23"/>
    <n v="1"/>
    <s v="Elaboração de Termos de Referência "/>
    <s v="Agência RMBH"/>
    <x v="0"/>
    <s v="Estimadas 150 horas de trabalho"/>
    <n v="150"/>
    <n v="18750"/>
    <m/>
    <m/>
    <m/>
    <m/>
    <m/>
    <m/>
    <m/>
    <m/>
    <m/>
    <m/>
    <m/>
    <m/>
    <m/>
    <m/>
    <m/>
    <m/>
    <m/>
    <m/>
    <m/>
    <m/>
    <m/>
    <m/>
    <m/>
    <m/>
    <m/>
    <m/>
    <m/>
    <m/>
    <m/>
    <m/>
  </r>
  <r>
    <x v="3"/>
    <x v="9"/>
    <x v="9"/>
    <x v="23"/>
    <x v="23"/>
    <n v="2"/>
    <s v="Licitação e contratação"/>
    <s v="Agência RMBH"/>
    <x v="0"/>
    <s v="Estimadas 250 horas de trabalho"/>
    <n v="250"/>
    <n v="31250"/>
    <m/>
    <m/>
    <m/>
    <m/>
    <m/>
    <m/>
    <m/>
    <m/>
    <m/>
    <m/>
    <m/>
    <m/>
    <m/>
    <m/>
    <m/>
    <m/>
    <m/>
    <m/>
    <m/>
    <m/>
    <m/>
    <m/>
    <m/>
    <m/>
    <m/>
    <m/>
    <m/>
    <m/>
    <m/>
    <m/>
  </r>
  <r>
    <x v="3"/>
    <x v="9"/>
    <x v="9"/>
    <x v="23"/>
    <x v="23"/>
    <n v="3"/>
    <s v="Mapeamento das áreas de risco e elaboração dos Planos Municipais de Redução de Risco"/>
    <s v="Agência RMBH / Prefeituras Municipais"/>
    <x v="1"/>
    <s v="Considerado o custo de R$ 560.0000 por PMRR e 22 PMRRs contratados"/>
    <s v="-"/>
    <n v="12320000"/>
    <m/>
    <m/>
    <m/>
    <m/>
    <m/>
    <m/>
    <m/>
    <m/>
    <m/>
    <m/>
    <m/>
    <m/>
    <m/>
    <m/>
    <m/>
    <m/>
    <m/>
    <m/>
    <m/>
    <m/>
    <m/>
    <m/>
    <m/>
    <m/>
    <m/>
    <m/>
    <m/>
    <m/>
    <m/>
    <m/>
  </r>
  <r>
    <x v="3"/>
    <x v="9"/>
    <x v="9"/>
    <x v="23"/>
    <x v="23"/>
    <n v="4"/>
    <s v="Aprovação e implementação dos Planos"/>
    <s v="Agência RMBH"/>
    <x v="0"/>
    <s v="-"/>
    <s v="-"/>
    <s v="-"/>
    <m/>
    <m/>
    <m/>
    <m/>
    <m/>
    <m/>
    <m/>
    <m/>
    <m/>
    <m/>
    <m/>
    <m/>
    <m/>
    <m/>
    <m/>
    <m/>
    <m/>
    <m/>
    <m/>
    <m/>
    <m/>
    <m/>
    <m/>
    <m/>
    <m/>
    <m/>
    <m/>
    <m/>
    <m/>
    <m/>
  </r>
  <r>
    <x v="3"/>
    <x v="9"/>
    <x v="9"/>
    <x v="24"/>
    <x v="24"/>
    <n v="1"/>
    <s v="Elaboração de materiais para campanhas de conscientização e capacitação"/>
    <s v="Prefeituras Municipais"/>
    <x v="0"/>
    <s v="Considerado o custo de R$ 20.000 para a elaboração de materiais e 22 municípios"/>
    <s v="-"/>
    <n v="440000"/>
    <m/>
    <m/>
    <m/>
    <m/>
    <m/>
    <m/>
    <m/>
    <m/>
    <m/>
    <m/>
    <m/>
    <m/>
    <m/>
    <m/>
    <m/>
    <m/>
    <m/>
    <m/>
    <m/>
    <m/>
    <m/>
    <m/>
    <m/>
    <m/>
    <m/>
    <m/>
    <m/>
    <m/>
    <m/>
    <m/>
  </r>
  <r>
    <x v="3"/>
    <x v="9"/>
    <x v="9"/>
    <x v="24"/>
    <x v="24"/>
    <n v="2"/>
    <s v="Realização de campanhas de conscientização e capacitação"/>
    <s v="Prefeituras Municipais"/>
    <x v="0"/>
    <s v="Considerado o custo de R$ 10.000 por ano para a realização de uma campanha anual, durante 28 anos em 22 municípios."/>
    <s v="-"/>
    <n v="6160000"/>
    <m/>
    <m/>
    <m/>
    <m/>
    <m/>
    <m/>
    <m/>
    <m/>
    <m/>
    <m/>
    <m/>
    <m/>
    <m/>
    <m/>
    <m/>
    <m/>
    <m/>
    <m/>
    <m/>
    <m/>
    <m/>
    <m/>
    <m/>
    <m/>
    <m/>
    <m/>
    <m/>
    <m/>
    <m/>
    <m/>
  </r>
  <r>
    <x v="3"/>
    <x v="9"/>
    <x v="9"/>
    <x v="24"/>
    <x v="24"/>
    <n v="3"/>
    <s v="Realização de campanhas de fiscalização de áreas de risco de desastres"/>
    <s v="Prefeituras Municipais"/>
    <x v="0"/>
    <s v="Considerado o custo de R$ 10.000 por ano para a realização de uma campanha anual, durante 28 anos em 22 municípios."/>
    <s v="-"/>
    <n v="6160000"/>
    <m/>
    <m/>
    <m/>
    <m/>
    <m/>
    <m/>
    <m/>
    <m/>
    <m/>
    <m/>
    <m/>
    <m/>
    <m/>
    <m/>
    <m/>
    <m/>
    <m/>
    <m/>
    <m/>
    <m/>
    <m/>
    <m/>
    <m/>
    <m/>
    <m/>
    <m/>
    <m/>
    <m/>
    <m/>
    <m/>
  </r>
  <r>
    <x v="3"/>
    <x v="9"/>
    <x v="9"/>
    <x v="25"/>
    <x v="25"/>
    <n v="1"/>
    <s v="Articulação entre as prefeituras e a Defesa Civil Estadual"/>
    <s v="Prefeituras Municipais"/>
    <x v="0"/>
    <s v="Estimadas 160 horas de trabalho e 22 municípios"/>
    <n v="160"/>
    <n v="440000"/>
    <m/>
    <m/>
    <m/>
    <m/>
    <m/>
    <m/>
    <m/>
    <m/>
    <m/>
    <m/>
    <m/>
    <m/>
    <m/>
    <m/>
    <m/>
    <m/>
    <m/>
    <m/>
    <m/>
    <m/>
    <m/>
    <m/>
    <m/>
    <m/>
    <m/>
    <m/>
    <m/>
    <m/>
    <m/>
    <m/>
  </r>
  <r>
    <x v="3"/>
    <x v="9"/>
    <x v="9"/>
    <x v="25"/>
    <x v="25"/>
    <n v="2"/>
    <s v="Capacitação e Fortalecimento da Defesa Civil"/>
    <s v="Prefeituras Municipais"/>
    <x v="0"/>
    <s v="Estimadas 160 horas de trabalho e 22 municípios"/>
    <n v="160"/>
    <n v="440000"/>
    <m/>
    <m/>
    <m/>
    <m/>
    <m/>
    <m/>
    <m/>
    <m/>
    <m/>
    <m/>
    <m/>
    <m/>
    <m/>
    <m/>
    <m/>
    <m/>
    <m/>
    <m/>
    <m/>
    <m/>
    <m/>
    <m/>
    <m/>
    <m/>
    <m/>
    <m/>
    <m/>
    <m/>
    <m/>
    <m/>
  </r>
  <r>
    <x v="3"/>
    <x v="9"/>
    <x v="9"/>
    <x v="25"/>
    <x v="25"/>
    <n v="3"/>
    <s v="Elaboração e atualização de Planos de Contingência"/>
    <s v="Prefeituras Municipais"/>
    <x v="1"/>
    <s v="Considerado o custo de R$ 200.0000 por Plano de Contingência e 22 Planos"/>
    <s v="-"/>
    <n v="4400000"/>
    <m/>
    <m/>
    <m/>
    <m/>
    <m/>
    <m/>
    <m/>
    <m/>
    <m/>
    <m/>
    <m/>
    <m/>
    <m/>
    <m/>
    <m/>
    <m/>
    <m/>
    <m/>
    <m/>
    <m/>
    <m/>
    <m/>
    <m/>
    <m/>
    <m/>
    <m/>
    <m/>
    <m/>
    <m/>
    <m/>
  </r>
  <r>
    <x v="3"/>
    <x v="9"/>
    <x v="9"/>
    <x v="26"/>
    <x v="26"/>
    <n v="1"/>
    <s v="Concepção do sistema de previsão e alerta"/>
    <s v="IGAM"/>
    <x v="0"/>
    <s v="Estimadas 1920 horas de trabalho"/>
    <n v="1920"/>
    <n v="240000"/>
    <m/>
    <m/>
    <m/>
    <m/>
    <m/>
    <m/>
    <m/>
    <m/>
    <m/>
    <m/>
    <m/>
    <m/>
    <m/>
    <m/>
    <m/>
    <m/>
    <m/>
    <m/>
    <m/>
    <m/>
    <m/>
    <m/>
    <m/>
    <m/>
    <m/>
    <m/>
    <m/>
    <m/>
    <m/>
    <m/>
  </r>
  <r>
    <x v="3"/>
    <x v="9"/>
    <x v="9"/>
    <x v="26"/>
    <x v="26"/>
    <n v="2"/>
    <s v="Seleção das áreas e instalação dos pontos de monitoramento necessários "/>
    <s v="IGAM"/>
    <x v="0"/>
    <s v="Estimadas 960 horas de trabalho para compilação das áreas de risco + 5 estações telemétricas instaladas no valor de R$ 63.561."/>
    <n v="960"/>
    <n v="437805"/>
    <m/>
    <m/>
    <m/>
    <m/>
    <m/>
    <m/>
    <m/>
    <m/>
    <m/>
    <m/>
    <m/>
    <m/>
    <m/>
    <m/>
    <m/>
    <m/>
    <m/>
    <m/>
    <m/>
    <m/>
    <m/>
    <m/>
    <m/>
    <m/>
    <m/>
    <m/>
    <m/>
    <m/>
    <m/>
    <m/>
  </r>
  <r>
    <x v="3"/>
    <x v="9"/>
    <x v="9"/>
    <x v="26"/>
    <x v="26"/>
    <n v="3"/>
    <s v="Elaboração do sistema de previsão e alerta"/>
    <s v="IGAM"/>
    <x v="1"/>
    <s v="Ver orçamento na planilha Ação 4.1.4"/>
    <s v="-"/>
    <n v="2295117"/>
    <m/>
    <m/>
    <m/>
    <m/>
    <m/>
    <m/>
    <m/>
    <m/>
    <m/>
    <m/>
    <m/>
    <m/>
    <m/>
    <m/>
    <m/>
    <m/>
    <m/>
    <m/>
    <m/>
    <m/>
    <m/>
    <m/>
    <m/>
    <m/>
    <m/>
    <m/>
    <m/>
    <m/>
    <m/>
    <m/>
  </r>
  <r>
    <x v="3"/>
    <x v="9"/>
    <x v="9"/>
    <x v="26"/>
    <x v="26"/>
    <n v="4"/>
    <s v="Implementação do sistema"/>
    <s v="IGAM"/>
    <x v="0"/>
    <s v="-"/>
    <s v="-"/>
    <s v="-"/>
    <m/>
    <m/>
    <m/>
    <m/>
    <m/>
    <m/>
    <m/>
    <m/>
    <m/>
    <m/>
    <m/>
    <m/>
    <m/>
    <m/>
    <m/>
    <m/>
    <m/>
    <m/>
    <m/>
    <m/>
    <m/>
    <m/>
    <m/>
    <m/>
    <m/>
    <m/>
    <m/>
    <m/>
    <m/>
    <m/>
  </r>
  <r>
    <x v="3"/>
    <x v="9"/>
    <x v="9"/>
    <x v="27"/>
    <x v="27"/>
    <n v="1"/>
    <s v="Identificação de pontos de interesse para pesquisas"/>
    <s v="SEMAD"/>
    <x v="0"/>
    <s v="Estimadas 150 horas de trabalho"/>
    <n v="150"/>
    <n v="18750"/>
    <m/>
    <m/>
    <m/>
    <m/>
    <m/>
    <m/>
    <m/>
    <m/>
    <m/>
    <m/>
    <m/>
    <m/>
    <m/>
    <m/>
    <m/>
    <m/>
    <m/>
    <m/>
    <m/>
    <m/>
    <m/>
    <m/>
    <m/>
    <m/>
    <m/>
    <m/>
    <m/>
    <m/>
    <m/>
    <m/>
  </r>
  <r>
    <x v="3"/>
    <x v="9"/>
    <x v="9"/>
    <x v="27"/>
    <x v="27"/>
    <n v="2"/>
    <s v="Chamamento público e estabelecimento de convênios com instituições de ensino e pesquisa"/>
    <s v="SEMAD"/>
    <x v="0"/>
    <s v="Estimadas 250 horas de trabalho"/>
    <n v="250"/>
    <n v="31250"/>
    <m/>
    <m/>
    <m/>
    <m/>
    <m/>
    <m/>
    <m/>
    <m/>
    <m/>
    <m/>
    <m/>
    <m/>
    <m/>
    <m/>
    <m/>
    <m/>
    <m/>
    <m/>
    <m/>
    <m/>
    <m/>
    <m/>
    <m/>
    <m/>
    <m/>
    <m/>
    <m/>
    <m/>
    <m/>
    <m/>
  </r>
  <r>
    <x v="3"/>
    <x v="9"/>
    <x v="9"/>
    <x v="27"/>
    <x v="27"/>
    <n v="3"/>
    <s v="Desenvolvimento das pesquisas e apresentação dos resultados"/>
    <s v="SEMAD"/>
    <x v="1"/>
    <s v="Considerado o custo de R$ 600.0000 por pesquisa e 5 pesquisas"/>
    <s v="-"/>
    <n v="3000000"/>
    <m/>
    <m/>
    <m/>
    <m/>
    <m/>
    <m/>
    <m/>
    <m/>
    <m/>
    <m/>
    <m/>
    <m/>
    <m/>
    <m/>
    <m/>
    <m/>
    <m/>
    <m/>
    <m/>
    <m/>
    <m/>
    <m/>
    <m/>
    <m/>
    <m/>
    <m/>
    <m/>
    <m/>
    <m/>
    <m/>
  </r>
  <r>
    <x v="3"/>
    <x v="10"/>
    <x v="10"/>
    <x v="28"/>
    <x v="28"/>
    <n v="1"/>
    <s v="Elaboração de materiais para capacitação dos municípios"/>
    <s v="Agência RMBH"/>
    <x v="0"/>
    <s v="Considerado o custo de R$ 50.000 para a elaboração de materiais"/>
    <s v="-"/>
    <n v="50000"/>
    <m/>
    <m/>
    <m/>
    <m/>
    <m/>
    <m/>
    <m/>
    <m/>
    <m/>
    <m/>
    <m/>
    <m/>
    <m/>
    <m/>
    <m/>
    <m/>
    <m/>
    <m/>
    <m/>
    <m/>
    <m/>
    <m/>
    <m/>
    <m/>
    <m/>
    <m/>
    <m/>
    <m/>
    <m/>
    <m/>
  </r>
  <r>
    <x v="3"/>
    <x v="10"/>
    <x v="10"/>
    <x v="28"/>
    <x v="28"/>
    <n v="2"/>
    <s v="Realização de Workshops e Treinamentos"/>
    <s v="Agência RMBH"/>
    <x v="0"/>
    <s v="Estimadas 480 horas de trabalho"/>
    <n v="480"/>
    <n v="60000"/>
    <m/>
    <m/>
    <m/>
    <m/>
    <m/>
    <m/>
    <m/>
    <m/>
    <m/>
    <m/>
    <m/>
    <m/>
    <m/>
    <m/>
    <m/>
    <m/>
    <m/>
    <m/>
    <m/>
    <m/>
    <m/>
    <m/>
    <m/>
    <m/>
    <m/>
    <m/>
    <m/>
    <m/>
    <m/>
    <m/>
  </r>
  <r>
    <x v="3"/>
    <x v="10"/>
    <x v="10"/>
    <x v="28"/>
    <x v="28"/>
    <n v="3"/>
    <s v="Desenvolvimento de Manuais e Guias"/>
    <s v="Agência RMBH"/>
    <x v="0"/>
    <s v="Estimadas 960 horas de trabalho"/>
    <n v="960"/>
    <n v="120000"/>
    <m/>
    <m/>
    <m/>
    <m/>
    <m/>
    <m/>
    <m/>
    <m/>
    <m/>
    <m/>
    <m/>
    <m/>
    <m/>
    <m/>
    <m/>
    <m/>
    <m/>
    <m/>
    <m/>
    <m/>
    <m/>
    <m/>
    <m/>
    <m/>
    <m/>
    <m/>
    <m/>
    <m/>
    <m/>
    <m/>
  </r>
  <r>
    <x v="3"/>
    <x v="10"/>
    <x v="10"/>
    <x v="28"/>
    <x v="28"/>
    <n v="4"/>
    <s v="Regulamentação das boas práticas de drenagem sustentável"/>
    <s v="Prefeituras Municipais"/>
    <x v="0"/>
    <s v="-"/>
    <s v="-"/>
    <s v="-"/>
    <m/>
    <m/>
    <m/>
    <m/>
    <m/>
    <m/>
    <m/>
    <m/>
    <m/>
    <m/>
    <m/>
    <m/>
    <m/>
    <m/>
    <m/>
    <m/>
    <m/>
    <m/>
    <m/>
    <m/>
    <m/>
    <m/>
    <m/>
    <m/>
    <m/>
    <m/>
    <m/>
    <m/>
    <m/>
    <m/>
  </r>
  <r>
    <x v="3"/>
    <x v="10"/>
    <x v="10"/>
    <x v="29"/>
    <x v="29"/>
    <n v="1"/>
    <s v="Elaboração de Termos de Referência "/>
    <s v="Agência RMBH"/>
    <x v="0"/>
    <s v="Estimadas 150 horas de trabalho"/>
    <n v="150"/>
    <n v="18750"/>
    <m/>
    <m/>
    <m/>
    <m/>
    <m/>
    <m/>
    <m/>
    <m/>
    <m/>
    <m/>
    <m/>
    <m/>
    <m/>
    <m/>
    <m/>
    <m/>
    <m/>
    <m/>
    <m/>
    <m/>
    <m/>
    <m/>
    <m/>
    <m/>
    <m/>
    <m/>
    <m/>
    <m/>
    <m/>
    <m/>
  </r>
  <r>
    <x v="3"/>
    <x v="10"/>
    <x v="10"/>
    <x v="29"/>
    <x v="29"/>
    <n v="2"/>
    <s v="Licitação e contratação"/>
    <s v="Agência RMBH"/>
    <x v="0"/>
    <s v="Estimadas 250 horas de trabalho"/>
    <n v="250"/>
    <n v="31250"/>
    <m/>
    <m/>
    <m/>
    <m/>
    <m/>
    <m/>
    <m/>
    <m/>
    <m/>
    <m/>
    <m/>
    <m/>
    <m/>
    <m/>
    <m/>
    <m/>
    <m/>
    <m/>
    <m/>
    <m/>
    <m/>
    <m/>
    <m/>
    <m/>
    <m/>
    <m/>
    <m/>
    <m/>
    <m/>
    <m/>
  </r>
  <r>
    <x v="3"/>
    <x v="10"/>
    <x v="10"/>
    <x v="29"/>
    <x v="29"/>
    <n v="3"/>
    <s v="Elaboração dos Planos Diretores de Drenagem Urbana"/>
    <s v="Agência RMBH"/>
    <x v="1"/>
    <s v="Considerado o custo de R$ 560.0000 por PDDU e 16 PDDUs contratados"/>
    <s v="-"/>
    <n v="8960000"/>
    <m/>
    <m/>
    <m/>
    <m/>
    <m/>
    <m/>
    <m/>
    <m/>
    <m/>
    <m/>
    <m/>
    <m/>
    <m/>
    <m/>
    <m/>
    <m/>
    <m/>
    <m/>
    <m/>
    <m/>
    <m/>
    <m/>
    <m/>
    <m/>
    <m/>
    <m/>
    <m/>
    <m/>
    <m/>
    <m/>
  </r>
  <r>
    <x v="3"/>
    <x v="10"/>
    <x v="10"/>
    <x v="29"/>
    <x v="29"/>
    <n v="4"/>
    <s v="Aprovação e implementação dos Planos"/>
    <s v="Agência RMBH"/>
    <x v="0"/>
    <s v="-"/>
    <s v="-"/>
    <s v="-"/>
    <m/>
    <m/>
    <m/>
    <m/>
    <m/>
    <m/>
    <m/>
    <m/>
    <m/>
    <m/>
    <m/>
    <m/>
    <m/>
    <m/>
    <m/>
    <m/>
    <m/>
    <m/>
    <m/>
    <m/>
    <m/>
    <m/>
    <m/>
    <m/>
    <m/>
    <m/>
    <m/>
    <m/>
    <m/>
    <m/>
  </r>
  <r>
    <x v="3"/>
    <x v="10"/>
    <x v="10"/>
    <x v="30"/>
    <x v="30"/>
    <n v="1"/>
    <s v="Conclusão dos projetos e obras de macrodrenagem em andamento"/>
    <s v="SEINFRA"/>
    <x v="2"/>
    <s v="Soma do valor das obras em andamento"/>
    <s v="-"/>
    <n v="2260000000"/>
    <m/>
    <m/>
    <m/>
    <m/>
    <m/>
    <m/>
    <m/>
    <m/>
    <m/>
    <m/>
    <m/>
    <m/>
    <m/>
    <m/>
    <m/>
    <m/>
    <m/>
    <m/>
    <m/>
    <m/>
    <m/>
    <m/>
    <m/>
    <m/>
    <m/>
    <m/>
    <m/>
    <m/>
    <m/>
    <m/>
  </r>
  <r>
    <x v="3"/>
    <x v="10"/>
    <x v="10"/>
    <x v="30"/>
    <x v="30"/>
    <n v="2"/>
    <s v="Realização de estudos de concepção, estudos de viabilidade e anteprojetos "/>
    <s v="SEINFRA"/>
    <x v="1"/>
    <s v="-"/>
    <s v="-"/>
    <s v="-"/>
    <m/>
    <m/>
    <m/>
    <m/>
    <m/>
    <m/>
    <m/>
    <m/>
    <m/>
    <m/>
    <m/>
    <m/>
    <m/>
    <m/>
    <m/>
    <m/>
    <m/>
    <m/>
    <m/>
    <m/>
    <m/>
    <m/>
    <m/>
    <m/>
    <m/>
    <m/>
    <m/>
    <m/>
    <m/>
    <m/>
  </r>
  <r>
    <x v="3"/>
    <x v="10"/>
    <x v="10"/>
    <x v="30"/>
    <x v="30"/>
    <n v="3"/>
    <s v="Elaboração de projetos básicos e executivos "/>
    <s v="SEINFRA"/>
    <x v="1"/>
    <s v="-"/>
    <s v="-"/>
    <s v="-"/>
    <m/>
    <m/>
    <m/>
    <m/>
    <m/>
    <m/>
    <m/>
    <m/>
    <m/>
    <m/>
    <m/>
    <m/>
    <m/>
    <m/>
    <m/>
    <m/>
    <m/>
    <m/>
    <m/>
    <m/>
    <m/>
    <m/>
    <m/>
    <m/>
    <m/>
    <m/>
    <m/>
    <m/>
    <m/>
    <m/>
  </r>
  <r>
    <x v="3"/>
    <x v="10"/>
    <x v="10"/>
    <x v="30"/>
    <x v="30"/>
    <n v="4"/>
    <s v="Execução das obras de adequação da macrodrenagem"/>
    <s v="SEINFRA"/>
    <x v="2"/>
    <s v="-"/>
    <s v="-"/>
    <s v="-"/>
    <m/>
    <m/>
    <m/>
    <m/>
    <m/>
    <m/>
    <m/>
    <m/>
    <m/>
    <m/>
    <m/>
    <m/>
    <m/>
    <m/>
    <m/>
    <m/>
    <m/>
    <m/>
    <m/>
    <m/>
    <m/>
    <m/>
    <m/>
    <m/>
    <m/>
    <m/>
    <m/>
    <m/>
    <m/>
    <m/>
  </r>
  <r>
    <x v="3"/>
    <x v="10"/>
    <x v="10"/>
    <x v="31"/>
    <x v="31"/>
    <n v="1"/>
    <s v="Elaboração do Termo de Referência "/>
    <s v="Agência RMBH"/>
    <x v="0"/>
    <s v="Estimadas 150 horas de trabalho"/>
    <n v="150"/>
    <n v="18750"/>
    <m/>
    <m/>
    <m/>
    <m/>
    <m/>
    <m/>
    <m/>
    <m/>
    <m/>
    <m/>
    <m/>
    <m/>
    <m/>
    <m/>
    <m/>
    <m/>
    <m/>
    <m/>
    <m/>
    <m/>
    <m/>
    <m/>
    <m/>
    <m/>
    <m/>
    <m/>
    <m/>
    <m/>
    <m/>
    <m/>
  </r>
  <r>
    <x v="3"/>
    <x v="10"/>
    <x v="10"/>
    <x v="31"/>
    <x v="31"/>
    <n v="2"/>
    <s v="Licitação e contratação"/>
    <s v="Agência RMBH"/>
    <x v="0"/>
    <s v="Estimadas 250 horas de trabalho"/>
    <n v="250"/>
    <n v="31250"/>
    <m/>
    <m/>
    <m/>
    <m/>
    <m/>
    <m/>
    <m/>
    <m/>
    <m/>
    <m/>
    <m/>
    <m/>
    <m/>
    <m/>
    <m/>
    <m/>
    <m/>
    <m/>
    <m/>
    <m/>
    <m/>
    <m/>
    <m/>
    <m/>
    <m/>
    <m/>
    <m/>
    <m/>
    <m/>
    <m/>
  </r>
  <r>
    <x v="3"/>
    <x v="10"/>
    <x v="10"/>
    <x v="31"/>
    <x v="31"/>
    <n v="3"/>
    <s v="Elaboração do Plano Diretor de Macrodrenagem do Alto Rio das Velhas"/>
    <s v="Agência RMBH"/>
    <x v="1"/>
    <s v="Ver orçamento na planilha Ação 4.2.4"/>
    <s v="-"/>
    <n v="1926352"/>
    <m/>
    <m/>
    <m/>
    <m/>
    <m/>
    <m/>
    <m/>
    <m/>
    <m/>
    <m/>
    <m/>
    <m/>
    <m/>
    <m/>
    <m/>
    <m/>
    <m/>
    <m/>
    <m/>
    <m/>
    <m/>
    <m/>
    <m/>
    <m/>
    <m/>
    <m/>
    <m/>
    <m/>
    <m/>
    <m/>
  </r>
  <r>
    <x v="3"/>
    <x v="10"/>
    <x v="10"/>
    <x v="31"/>
    <x v="31"/>
    <n v="4"/>
    <s v="Aprovação e implementação do Plano"/>
    <s v="Agência RMBH"/>
    <x v="0"/>
    <s v="-"/>
    <s v="-"/>
    <s v="-"/>
    <m/>
    <m/>
    <m/>
    <m/>
    <m/>
    <m/>
    <m/>
    <m/>
    <m/>
    <m/>
    <m/>
    <m/>
    <m/>
    <m/>
    <m/>
    <m/>
    <m/>
    <m/>
    <m/>
    <m/>
    <m/>
    <m/>
    <m/>
    <m/>
    <m/>
    <m/>
    <m/>
    <m/>
    <m/>
    <m/>
  </r>
  <r>
    <x v="3"/>
    <x v="11"/>
    <x v="11"/>
    <x v="32"/>
    <x v="32"/>
    <n v="1"/>
    <s v="Identificação das barragens de rejeito"/>
    <s v="FEAM"/>
    <x v="0"/>
    <s v="Estimadas 320 horas de trabalho"/>
    <n v="320"/>
    <n v="40000"/>
    <m/>
    <m/>
    <m/>
    <m/>
    <m/>
    <m/>
    <m/>
    <m/>
    <m/>
    <m/>
    <m/>
    <m/>
    <m/>
    <m/>
    <m/>
    <m/>
    <m/>
    <m/>
    <m/>
    <m/>
    <m/>
    <m/>
    <m/>
    <m/>
    <m/>
    <m/>
    <m/>
    <m/>
    <m/>
    <m/>
  </r>
  <r>
    <x v="3"/>
    <x v="11"/>
    <x v="11"/>
    <x v="32"/>
    <x v="32"/>
    <n v="2"/>
    <s v="Cadastramento das barragens de rejeito"/>
    <s v="FEAM"/>
    <x v="0"/>
    <s v="Estimadas 1600 horas de trabalho"/>
    <n v="1600"/>
    <n v="200000"/>
    <m/>
    <m/>
    <m/>
    <m/>
    <m/>
    <m/>
    <m/>
    <m/>
    <m/>
    <m/>
    <m/>
    <m/>
    <m/>
    <m/>
    <m/>
    <m/>
    <m/>
    <m/>
    <m/>
    <m/>
    <m/>
    <m/>
    <m/>
    <m/>
    <m/>
    <m/>
    <m/>
    <m/>
    <m/>
    <m/>
  </r>
  <r>
    <x v="3"/>
    <x v="11"/>
    <x v="11"/>
    <x v="32"/>
    <x v="32"/>
    <n v="3"/>
    <s v="Regularização das barragens de rejeito"/>
    <s v="FEAM"/>
    <x v="0"/>
    <s v="Estimadas 600 horas de trabalho"/>
    <n v="600"/>
    <n v="75000"/>
    <m/>
    <m/>
    <m/>
    <m/>
    <m/>
    <m/>
    <m/>
    <m/>
    <m/>
    <m/>
    <m/>
    <m/>
    <m/>
    <m/>
    <m/>
    <m/>
    <m/>
    <m/>
    <m/>
    <m/>
    <m/>
    <m/>
    <m/>
    <m/>
    <m/>
    <m/>
    <m/>
    <m/>
    <m/>
    <m/>
  </r>
  <r>
    <x v="3"/>
    <x v="11"/>
    <x v="11"/>
    <x v="33"/>
    <x v="33"/>
    <n v="1"/>
    <s v="Conclusão do Sigibar"/>
    <s v="FEAM"/>
    <x v="1"/>
    <s v="Estimada uma carga horária de 960 horas/módulo e conclusão de 10 módulos"/>
    <s v="-"/>
    <n v="1200000"/>
    <m/>
    <m/>
    <m/>
    <m/>
    <m/>
    <m/>
    <m/>
    <m/>
    <m/>
    <m/>
    <m/>
    <m/>
    <m/>
    <m/>
    <m/>
    <m/>
    <m/>
    <m/>
    <m/>
    <m/>
    <m/>
    <m/>
    <m/>
    <m/>
    <m/>
    <m/>
    <m/>
    <m/>
    <m/>
    <m/>
  </r>
  <r>
    <x v="3"/>
    <x v="11"/>
    <x v="11"/>
    <x v="33"/>
    <x v="33"/>
    <n v="2"/>
    <s v="Operacionalização do Sistema"/>
    <s v="FEAM"/>
    <x v="0"/>
    <s v="-"/>
    <s v="-"/>
    <s v="-"/>
    <m/>
    <m/>
    <m/>
    <m/>
    <m/>
    <m/>
    <m/>
    <m/>
    <m/>
    <m/>
    <m/>
    <m/>
    <m/>
    <m/>
    <m/>
    <m/>
    <m/>
    <m/>
    <m/>
    <m/>
    <m/>
    <m/>
    <m/>
    <m/>
    <m/>
    <m/>
    <m/>
    <m/>
    <m/>
    <m/>
  </r>
  <r>
    <x v="3"/>
    <x v="11"/>
    <x v="11"/>
    <x v="34"/>
    <x v="34"/>
    <n v="1"/>
    <s v="Concepção e estruturação de sistemática de controle das inspeções"/>
    <s v="FEAM"/>
    <x v="0"/>
    <s v="Estimadas 800 horas de trabalho"/>
    <n v="800"/>
    <n v="100000"/>
    <m/>
    <m/>
    <m/>
    <m/>
    <m/>
    <m/>
    <m/>
    <m/>
    <m/>
    <m/>
    <m/>
    <m/>
    <m/>
    <m/>
    <m/>
    <m/>
    <m/>
    <m/>
    <m/>
    <m/>
    <m/>
    <m/>
    <m/>
    <m/>
    <m/>
    <m/>
    <m/>
    <m/>
    <m/>
    <m/>
  </r>
  <r>
    <x v="3"/>
    <x v="11"/>
    <x v="11"/>
    <x v="34"/>
    <x v="34"/>
    <n v="2"/>
    <s v="Implementação da sistemática de controle das inspeções, revisões e auditorias técnicas de segurança"/>
    <s v="FEAM"/>
    <x v="0"/>
    <s v="Estimadas 600 horas de trabalho"/>
    <n v="600"/>
    <n v="75000"/>
    <m/>
    <m/>
    <m/>
    <m/>
    <m/>
    <m/>
    <m/>
    <m/>
    <m/>
    <m/>
    <m/>
    <m/>
    <m/>
    <m/>
    <m/>
    <m/>
    <m/>
    <m/>
    <m/>
    <m/>
    <m/>
    <m/>
    <m/>
    <m/>
    <m/>
    <m/>
    <m/>
    <m/>
    <m/>
    <m/>
  </r>
  <r>
    <x v="3"/>
    <x v="11"/>
    <x v="11"/>
    <x v="34"/>
    <x v="34"/>
    <n v="3"/>
    <s v="Implementação das ações legais decorrentes"/>
    <s v="FEAM"/>
    <x v="0"/>
    <s v="-"/>
    <s v="-"/>
    <s v="-"/>
    <m/>
    <m/>
    <m/>
    <m/>
    <m/>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7F09D03B-64EE-41C2-BAB4-37768665A2B3}" name="Tabela dinâmica3"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F40" firstHeaderRow="1" firstDataRow="2" firstDataCol="2"/>
  <pivotFields count="42">
    <pivotField showAll="0">
      <items count="5">
        <item x="0"/>
        <item x="1"/>
        <item x="2"/>
        <item x="3"/>
        <item t="default"/>
      </items>
    </pivotField>
    <pivotField outline="0" showAll="0" defaultSubtotal="0">
      <items count="12">
        <item x="0"/>
        <item x="1"/>
        <item x="2"/>
        <item x="3"/>
        <item x="4"/>
        <item x="5"/>
        <item x="6"/>
        <item x="7"/>
        <item x="8"/>
        <item x="9"/>
        <item x="10"/>
        <item x="11"/>
      </items>
    </pivotField>
    <pivotField showAll="0">
      <items count="13">
        <item x="7"/>
        <item x="5"/>
        <item x="10"/>
        <item x="3"/>
        <item x="8"/>
        <item x="9"/>
        <item x="6"/>
        <item x="0"/>
        <item x="1"/>
        <item x="4"/>
        <item x="11"/>
        <item x="2"/>
        <item t="default"/>
      </items>
    </pivotField>
    <pivotField axis="axisRow" outline="0" showAll="0" defaultSubtotal="0">
      <items count="3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s>
    </pivotField>
    <pivotField axis="axisRow" showAll="0">
      <items count="36">
        <item x="16"/>
        <item x="2"/>
        <item x="6"/>
        <item x="5"/>
        <item x="4"/>
        <item x="28"/>
        <item x="11"/>
        <item x="24"/>
        <item x="34"/>
        <item x="27"/>
        <item x="33"/>
        <item x="14"/>
        <item x="26"/>
        <item x="12"/>
        <item x="20"/>
        <item x="13"/>
        <item x="31"/>
        <item x="1"/>
        <item x="29"/>
        <item x="18"/>
        <item x="10"/>
        <item x="22"/>
        <item x="19"/>
        <item x="15"/>
        <item x="30"/>
        <item x="21"/>
        <item x="25"/>
        <item x="3"/>
        <item x="7"/>
        <item x="17"/>
        <item x="23"/>
        <item x="0"/>
        <item x="8"/>
        <item x="9"/>
        <item x="32"/>
        <item t="default"/>
      </items>
    </pivotField>
    <pivotField showAll="0"/>
    <pivotField showAll="0"/>
    <pivotField showAll="0"/>
    <pivotField axis="axisCol" showAll="0">
      <items count="4">
        <item x="0"/>
        <item x="1"/>
        <item x="2"/>
        <item t="default"/>
      </items>
    </pivotField>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3"/>
    <field x="4"/>
  </rowFields>
  <rowItems count="36">
    <i>
      <x/>
      <x v="31"/>
    </i>
    <i>
      <x v="1"/>
      <x v="17"/>
    </i>
    <i>
      <x v="2"/>
      <x v="1"/>
    </i>
    <i>
      <x v="3"/>
      <x v="27"/>
    </i>
    <i>
      <x v="4"/>
      <x v="4"/>
    </i>
    <i>
      <x v="5"/>
      <x v="3"/>
    </i>
    <i>
      <x v="6"/>
      <x v="2"/>
    </i>
    <i>
      <x v="7"/>
      <x v="28"/>
    </i>
    <i>
      <x v="8"/>
      <x v="32"/>
    </i>
    <i>
      <x v="9"/>
      <x v="33"/>
    </i>
    <i>
      <x v="10"/>
      <x v="20"/>
    </i>
    <i>
      <x v="11"/>
      <x v="6"/>
    </i>
    <i>
      <x v="12"/>
      <x v="13"/>
    </i>
    <i>
      <x v="13"/>
      <x v="15"/>
    </i>
    <i>
      <x v="14"/>
      <x v="11"/>
    </i>
    <i>
      <x v="15"/>
      <x v="23"/>
    </i>
    <i>
      <x v="16"/>
      <x/>
    </i>
    <i>
      <x v="17"/>
      <x v="29"/>
    </i>
    <i>
      <x v="18"/>
      <x v="19"/>
    </i>
    <i>
      <x v="19"/>
      <x v="22"/>
    </i>
    <i>
      <x v="20"/>
      <x v="14"/>
    </i>
    <i>
      <x v="21"/>
      <x v="25"/>
    </i>
    <i>
      <x v="22"/>
      <x v="21"/>
    </i>
    <i>
      <x v="23"/>
      <x v="30"/>
    </i>
    <i>
      <x v="24"/>
      <x v="7"/>
    </i>
    <i>
      <x v="25"/>
      <x v="26"/>
    </i>
    <i>
      <x v="26"/>
      <x v="12"/>
    </i>
    <i>
      <x v="27"/>
      <x v="9"/>
    </i>
    <i>
      <x v="28"/>
      <x v="5"/>
    </i>
    <i>
      <x v="29"/>
      <x v="18"/>
    </i>
    <i>
      <x v="30"/>
      <x v="24"/>
    </i>
    <i>
      <x v="31"/>
      <x v="16"/>
    </i>
    <i>
      <x v="32"/>
      <x v="34"/>
    </i>
    <i>
      <x v="33"/>
      <x v="10"/>
    </i>
    <i>
      <x v="34"/>
      <x v="8"/>
    </i>
    <i t="grand">
      <x/>
    </i>
  </rowItems>
  <colFields count="1">
    <field x="8"/>
  </colFields>
  <colItems count="4">
    <i>
      <x/>
    </i>
    <i>
      <x v="1"/>
    </i>
    <i>
      <x v="2"/>
    </i>
    <i t="grand">
      <x/>
    </i>
  </colItems>
  <dataFields count="1">
    <dataField name="Soma de Orçamento (R$)" fld="11" baseField="0" baseItem="0" numFmtId="44"/>
  </dataFields>
  <formats count="1">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62FB3-566A-42EF-9589-F43EBD8F3237}">
  <dimension ref="A1:AP121"/>
  <sheetViews>
    <sheetView tabSelected="1" zoomScale="70" zoomScaleNormal="70" workbookViewId="0">
      <pane xSplit="5" ySplit="1" topLeftCell="F2" activePane="bottomRight" state="frozen"/>
      <selection activeCell="B1" sqref="B1"/>
      <selection pane="topRight" activeCell="F1" sqref="F1"/>
      <selection pane="bottomLeft" activeCell="B2" sqref="B2"/>
      <selection pane="bottomRight" activeCell="C2" sqref="C2"/>
    </sheetView>
  </sheetViews>
  <sheetFormatPr defaultRowHeight="14.4" x14ac:dyDescent="0.3"/>
  <cols>
    <col min="1" max="1" width="33.44140625" style="1" customWidth="1"/>
    <col min="2" max="2" width="10.77734375" style="2" customWidth="1"/>
    <col min="3" max="3" width="30" style="89" customWidth="1"/>
    <col min="4" max="4" width="8.6640625" style="2" customWidth="1"/>
    <col min="5" max="5" width="44.44140625" style="1" customWidth="1"/>
    <col min="6" max="6" width="10.44140625" style="2" customWidth="1"/>
    <col min="7" max="7" width="38.33203125" style="1" customWidth="1"/>
    <col min="8" max="8" width="15.88671875" style="1" customWidth="1"/>
    <col min="9" max="9" width="16.88671875" style="1" customWidth="1"/>
    <col min="10" max="10" width="45.109375" style="89" customWidth="1"/>
    <col min="11" max="11" width="17.33203125" style="2" customWidth="1"/>
    <col min="12" max="12" width="19.44140625" style="92" customWidth="1"/>
    <col min="13" max="42" width="4.21875" style="1" bestFit="1" customWidth="1"/>
    <col min="43" max="16384" width="8.88671875" style="1"/>
  </cols>
  <sheetData>
    <row r="1" spans="1:42" s="2" customFormat="1" ht="28.8" customHeight="1" x14ac:dyDescent="0.3">
      <c r="A1" s="119" t="s">
        <v>60</v>
      </c>
      <c r="B1" s="119" t="s">
        <v>15</v>
      </c>
      <c r="C1" s="119" t="s">
        <v>297</v>
      </c>
      <c r="D1" s="119" t="s">
        <v>16</v>
      </c>
      <c r="E1" s="119" t="s">
        <v>298</v>
      </c>
      <c r="F1" s="119" t="s">
        <v>295</v>
      </c>
      <c r="G1" s="119" t="s">
        <v>751</v>
      </c>
      <c r="H1" s="119" t="s">
        <v>951</v>
      </c>
      <c r="I1" s="119" t="s">
        <v>954</v>
      </c>
      <c r="J1" s="119" t="s">
        <v>955</v>
      </c>
      <c r="K1" s="119" t="s">
        <v>301</v>
      </c>
      <c r="L1" s="120" t="s">
        <v>75</v>
      </c>
      <c r="M1" s="121">
        <v>2024</v>
      </c>
      <c r="N1" s="121">
        <v>2025</v>
      </c>
      <c r="O1" s="121">
        <v>2026</v>
      </c>
      <c r="P1" s="121">
        <v>2027</v>
      </c>
      <c r="Q1" s="121">
        <v>2028</v>
      </c>
      <c r="R1" s="121">
        <v>2029</v>
      </c>
      <c r="S1" s="121">
        <v>2030</v>
      </c>
      <c r="T1" s="121">
        <v>2031</v>
      </c>
      <c r="U1" s="121">
        <v>2032</v>
      </c>
      <c r="V1" s="121">
        <v>2033</v>
      </c>
      <c r="W1" s="121">
        <v>2034</v>
      </c>
      <c r="X1" s="121">
        <v>2035</v>
      </c>
      <c r="Y1" s="121">
        <v>2036</v>
      </c>
      <c r="Z1" s="121">
        <v>2037</v>
      </c>
      <c r="AA1" s="121">
        <v>2038</v>
      </c>
      <c r="AB1" s="121">
        <v>2039</v>
      </c>
      <c r="AC1" s="121">
        <v>2040</v>
      </c>
      <c r="AD1" s="121">
        <v>2041</v>
      </c>
      <c r="AE1" s="121">
        <v>2042</v>
      </c>
      <c r="AF1" s="121">
        <v>2043</v>
      </c>
      <c r="AG1" s="121">
        <v>2044</v>
      </c>
      <c r="AH1" s="121">
        <v>2045</v>
      </c>
      <c r="AI1" s="121">
        <v>2046</v>
      </c>
      <c r="AJ1" s="121">
        <v>2047</v>
      </c>
      <c r="AK1" s="121">
        <v>2048</v>
      </c>
      <c r="AL1" s="121">
        <v>2049</v>
      </c>
      <c r="AM1" s="121">
        <v>2050</v>
      </c>
      <c r="AN1" s="121">
        <v>2051</v>
      </c>
      <c r="AO1" s="121">
        <v>2052</v>
      </c>
      <c r="AP1" s="121">
        <v>2053</v>
      </c>
    </row>
    <row r="2" spans="1:42" ht="49.95" customHeight="1" x14ac:dyDescent="0.3">
      <c r="A2" s="95" t="s">
        <v>0</v>
      </c>
      <c r="B2" s="4" t="s">
        <v>2</v>
      </c>
      <c r="C2" s="95" t="s">
        <v>266</v>
      </c>
      <c r="D2" s="4" t="s">
        <v>17</v>
      </c>
      <c r="E2" s="95" t="s">
        <v>34</v>
      </c>
      <c r="F2" s="4">
        <v>1</v>
      </c>
      <c r="G2" s="5" t="s">
        <v>589</v>
      </c>
      <c r="H2" s="3" t="s">
        <v>952</v>
      </c>
      <c r="I2" s="3" t="s">
        <v>73</v>
      </c>
      <c r="J2" s="96" t="s">
        <v>590</v>
      </c>
      <c r="K2" s="97">
        <v>160</v>
      </c>
      <c r="L2" s="90">
        <f>K2*125</f>
        <v>20000</v>
      </c>
      <c r="M2" s="122"/>
      <c r="N2" s="123"/>
      <c r="O2" s="123"/>
      <c r="P2" s="123"/>
      <c r="Q2" s="123"/>
      <c r="R2" s="123"/>
      <c r="S2" s="123"/>
      <c r="T2" s="123"/>
      <c r="U2" s="123"/>
      <c r="V2" s="123"/>
      <c r="W2" s="124"/>
      <c r="X2" s="124"/>
      <c r="Y2" s="124"/>
      <c r="Z2" s="124"/>
      <c r="AA2" s="124"/>
      <c r="AB2" s="124"/>
      <c r="AC2" s="124"/>
      <c r="AD2" s="124"/>
      <c r="AE2" s="124"/>
      <c r="AF2" s="124"/>
      <c r="AG2" s="124"/>
      <c r="AH2" s="124"/>
      <c r="AI2" s="124"/>
      <c r="AJ2" s="124"/>
      <c r="AK2" s="124"/>
      <c r="AL2" s="124"/>
      <c r="AM2" s="124"/>
      <c r="AN2" s="124"/>
      <c r="AO2" s="124"/>
      <c r="AP2" s="124"/>
    </row>
    <row r="3" spans="1:42" ht="35.4" customHeight="1" x14ac:dyDescent="0.3">
      <c r="A3" s="95" t="s">
        <v>0</v>
      </c>
      <c r="B3" s="4" t="s">
        <v>2</v>
      </c>
      <c r="C3" s="95" t="s">
        <v>266</v>
      </c>
      <c r="D3" s="4" t="s">
        <v>17</v>
      </c>
      <c r="E3" s="95" t="s">
        <v>34</v>
      </c>
      <c r="F3" s="4">
        <v>2</v>
      </c>
      <c r="G3" s="5" t="s">
        <v>633</v>
      </c>
      <c r="H3" s="3" t="s">
        <v>52</v>
      </c>
      <c r="I3" s="3" t="s">
        <v>73</v>
      </c>
      <c r="J3" s="96" t="s">
        <v>736</v>
      </c>
      <c r="K3" s="97">
        <f>5*150</f>
        <v>750</v>
      </c>
      <c r="L3" s="90">
        <f>K3*125</f>
        <v>93750</v>
      </c>
      <c r="M3" s="123"/>
      <c r="N3" s="122"/>
      <c r="O3" s="122"/>
      <c r="P3" s="123"/>
      <c r="Q3" s="123"/>
      <c r="R3" s="123"/>
      <c r="S3" s="123"/>
      <c r="T3" s="123"/>
      <c r="U3" s="123"/>
      <c r="V3" s="123"/>
      <c r="W3" s="124"/>
      <c r="X3" s="124"/>
      <c r="Y3" s="124"/>
      <c r="Z3" s="124"/>
      <c r="AA3" s="124"/>
      <c r="AB3" s="124"/>
      <c r="AC3" s="124"/>
      <c r="AD3" s="124"/>
      <c r="AE3" s="124"/>
      <c r="AF3" s="124"/>
      <c r="AG3" s="124"/>
      <c r="AH3" s="124"/>
      <c r="AI3" s="124"/>
      <c r="AJ3" s="124"/>
      <c r="AK3" s="124"/>
      <c r="AL3" s="124"/>
      <c r="AM3" s="124"/>
      <c r="AN3" s="124"/>
      <c r="AO3" s="124"/>
      <c r="AP3" s="124"/>
    </row>
    <row r="4" spans="1:42" ht="49.95" customHeight="1" x14ac:dyDescent="0.3">
      <c r="A4" s="95" t="s">
        <v>0</v>
      </c>
      <c r="B4" s="4" t="s">
        <v>2</v>
      </c>
      <c r="C4" s="95" t="s">
        <v>266</v>
      </c>
      <c r="D4" s="4" t="s">
        <v>17</v>
      </c>
      <c r="E4" s="95" t="s">
        <v>34</v>
      </c>
      <c r="F4" s="4">
        <v>3</v>
      </c>
      <c r="G4" s="5" t="s">
        <v>634</v>
      </c>
      <c r="H4" s="3" t="s">
        <v>52</v>
      </c>
      <c r="I4" s="3" t="s">
        <v>73</v>
      </c>
      <c r="J4" s="96" t="s">
        <v>737</v>
      </c>
      <c r="K4" s="97">
        <f>5*250</f>
        <v>1250</v>
      </c>
      <c r="L4" s="90">
        <f>K4*125</f>
        <v>156250</v>
      </c>
      <c r="M4" s="123"/>
      <c r="N4" s="123"/>
      <c r="O4" s="122"/>
      <c r="P4" s="122"/>
      <c r="Q4" s="122"/>
      <c r="R4" s="123"/>
      <c r="S4" s="123"/>
      <c r="T4" s="123"/>
      <c r="U4" s="123"/>
      <c r="V4" s="123"/>
      <c r="W4" s="124"/>
      <c r="X4" s="124"/>
      <c r="Y4" s="124"/>
      <c r="Z4" s="124"/>
      <c r="AA4" s="124"/>
      <c r="AB4" s="124"/>
      <c r="AC4" s="124"/>
      <c r="AD4" s="124"/>
      <c r="AE4" s="124"/>
      <c r="AF4" s="124"/>
      <c r="AG4" s="124"/>
      <c r="AH4" s="124"/>
      <c r="AI4" s="124"/>
      <c r="AJ4" s="124"/>
      <c r="AK4" s="124"/>
      <c r="AL4" s="124"/>
      <c r="AM4" s="124"/>
      <c r="AN4" s="124"/>
      <c r="AO4" s="124"/>
      <c r="AP4" s="124"/>
    </row>
    <row r="5" spans="1:42" ht="49.95" customHeight="1" x14ac:dyDescent="0.3">
      <c r="A5" s="95" t="s">
        <v>0</v>
      </c>
      <c r="B5" s="4" t="s">
        <v>2</v>
      </c>
      <c r="C5" s="95" t="s">
        <v>266</v>
      </c>
      <c r="D5" s="4" t="s">
        <v>17</v>
      </c>
      <c r="E5" s="95" t="s">
        <v>34</v>
      </c>
      <c r="F5" s="4">
        <v>4</v>
      </c>
      <c r="G5" s="5" t="s">
        <v>296</v>
      </c>
      <c r="H5" s="3" t="s">
        <v>52</v>
      </c>
      <c r="I5" s="3" t="s">
        <v>72</v>
      </c>
      <c r="J5" s="96" t="s">
        <v>738</v>
      </c>
      <c r="K5" s="97" t="s">
        <v>302</v>
      </c>
      <c r="L5" s="90">
        <v>1250000</v>
      </c>
      <c r="M5" s="123"/>
      <c r="N5" s="123"/>
      <c r="O5" s="123"/>
      <c r="P5" s="123"/>
      <c r="Q5" s="122"/>
      <c r="R5" s="122"/>
      <c r="S5" s="122"/>
      <c r="T5" s="122"/>
      <c r="U5" s="122"/>
      <c r="V5" s="122"/>
      <c r="W5" s="124"/>
      <c r="X5" s="124"/>
      <c r="Y5" s="124"/>
      <c r="Z5" s="124"/>
      <c r="AA5" s="124"/>
      <c r="AB5" s="124"/>
      <c r="AC5" s="124"/>
      <c r="AD5" s="124"/>
      <c r="AE5" s="124"/>
      <c r="AF5" s="124"/>
      <c r="AG5" s="124"/>
      <c r="AH5" s="124"/>
      <c r="AI5" s="124"/>
      <c r="AJ5" s="124"/>
      <c r="AK5" s="124"/>
      <c r="AL5" s="124"/>
      <c r="AM5" s="124"/>
      <c r="AN5" s="124"/>
      <c r="AO5" s="124"/>
      <c r="AP5" s="124"/>
    </row>
    <row r="6" spans="1:42" ht="49.95" customHeight="1" x14ac:dyDescent="0.3">
      <c r="A6" s="95" t="s">
        <v>0</v>
      </c>
      <c r="B6" s="4" t="s">
        <v>2</v>
      </c>
      <c r="C6" s="95" t="s">
        <v>266</v>
      </c>
      <c r="D6" s="4" t="s">
        <v>18</v>
      </c>
      <c r="E6" s="5" t="s">
        <v>267</v>
      </c>
      <c r="F6" s="4">
        <v>1</v>
      </c>
      <c r="G6" s="5" t="s">
        <v>635</v>
      </c>
      <c r="H6" s="3" t="s">
        <v>52</v>
      </c>
      <c r="I6" s="3" t="s">
        <v>73</v>
      </c>
      <c r="J6" s="96" t="s">
        <v>739</v>
      </c>
      <c r="K6" s="97" t="s">
        <v>302</v>
      </c>
      <c r="L6" s="90">
        <f>10*160000</f>
        <v>1600000</v>
      </c>
      <c r="M6" s="122"/>
      <c r="N6" s="123"/>
      <c r="O6" s="123"/>
      <c r="P6" s="123"/>
      <c r="Q6" s="123"/>
      <c r="R6" s="123"/>
      <c r="S6" s="123"/>
      <c r="T6" s="123"/>
      <c r="U6" s="123"/>
      <c r="V6" s="123"/>
      <c r="W6" s="124"/>
      <c r="X6" s="124"/>
      <c r="Y6" s="124"/>
      <c r="Z6" s="124"/>
      <c r="AA6" s="124"/>
      <c r="AB6" s="124"/>
      <c r="AC6" s="124"/>
      <c r="AD6" s="124"/>
      <c r="AE6" s="124"/>
      <c r="AF6" s="124"/>
      <c r="AG6" s="124"/>
      <c r="AH6" s="124"/>
      <c r="AI6" s="124"/>
      <c r="AJ6" s="124"/>
      <c r="AK6" s="124"/>
      <c r="AL6" s="124"/>
      <c r="AM6" s="124"/>
      <c r="AN6" s="124"/>
      <c r="AO6" s="124"/>
      <c r="AP6" s="124"/>
    </row>
    <row r="7" spans="1:42" ht="49.95" customHeight="1" x14ac:dyDescent="0.3">
      <c r="A7" s="95" t="s">
        <v>0</v>
      </c>
      <c r="B7" s="4" t="s">
        <v>2</v>
      </c>
      <c r="C7" s="95" t="s">
        <v>266</v>
      </c>
      <c r="D7" s="4" t="s">
        <v>18</v>
      </c>
      <c r="E7" s="5" t="s">
        <v>267</v>
      </c>
      <c r="F7" s="4">
        <v>2</v>
      </c>
      <c r="G7" s="5" t="s">
        <v>303</v>
      </c>
      <c r="H7" s="3" t="s">
        <v>52</v>
      </c>
      <c r="I7" s="3" t="s">
        <v>72</v>
      </c>
      <c r="J7" s="96" t="s">
        <v>740</v>
      </c>
      <c r="K7" s="97" t="s">
        <v>302</v>
      </c>
      <c r="L7" s="90">
        <f>10*225000</f>
        <v>2250000</v>
      </c>
      <c r="M7" s="123"/>
      <c r="N7" s="122"/>
      <c r="O7" s="122"/>
      <c r="P7" s="123"/>
      <c r="Q7" s="123"/>
      <c r="R7" s="123"/>
      <c r="S7" s="123"/>
      <c r="T7" s="123"/>
      <c r="U7" s="123"/>
      <c r="V7" s="123"/>
      <c r="W7" s="124"/>
      <c r="X7" s="124"/>
      <c r="Y7" s="124"/>
      <c r="Z7" s="124"/>
      <c r="AA7" s="124"/>
      <c r="AB7" s="124"/>
      <c r="AC7" s="124"/>
      <c r="AD7" s="124"/>
      <c r="AE7" s="124"/>
      <c r="AF7" s="124"/>
      <c r="AG7" s="124"/>
      <c r="AH7" s="124"/>
      <c r="AI7" s="124"/>
      <c r="AJ7" s="124"/>
      <c r="AK7" s="124"/>
      <c r="AL7" s="124"/>
      <c r="AM7" s="124"/>
      <c r="AN7" s="124"/>
      <c r="AO7" s="124"/>
      <c r="AP7" s="124"/>
    </row>
    <row r="8" spans="1:42" ht="49.95" customHeight="1" x14ac:dyDescent="0.3">
      <c r="A8" s="95" t="s">
        <v>0</v>
      </c>
      <c r="B8" s="4" t="s">
        <v>2</v>
      </c>
      <c r="C8" s="95" t="s">
        <v>266</v>
      </c>
      <c r="D8" s="4" t="s">
        <v>18</v>
      </c>
      <c r="E8" s="5" t="s">
        <v>267</v>
      </c>
      <c r="F8" s="4">
        <v>3</v>
      </c>
      <c r="G8" s="5" t="s">
        <v>304</v>
      </c>
      <c r="H8" s="3" t="s">
        <v>52</v>
      </c>
      <c r="I8" s="3" t="s">
        <v>72</v>
      </c>
      <c r="J8" s="96" t="s">
        <v>741</v>
      </c>
      <c r="K8" s="97" t="s">
        <v>302</v>
      </c>
      <c r="L8" s="90">
        <f>10*350000</f>
        <v>3500000</v>
      </c>
      <c r="M8" s="123"/>
      <c r="N8" s="123"/>
      <c r="O8" s="123"/>
      <c r="P8" s="122"/>
      <c r="Q8" s="122"/>
      <c r="R8" s="122"/>
      <c r="S8" s="122"/>
      <c r="T8" s="122"/>
      <c r="U8" s="122"/>
      <c r="V8" s="122"/>
      <c r="W8" s="124"/>
      <c r="X8" s="124"/>
      <c r="Y8" s="124"/>
      <c r="Z8" s="124"/>
      <c r="AA8" s="124"/>
      <c r="AB8" s="124"/>
      <c r="AC8" s="124"/>
      <c r="AD8" s="124"/>
      <c r="AE8" s="124"/>
      <c r="AF8" s="124"/>
      <c r="AG8" s="124"/>
      <c r="AH8" s="124"/>
      <c r="AI8" s="124"/>
      <c r="AJ8" s="124"/>
      <c r="AK8" s="124"/>
      <c r="AL8" s="124"/>
      <c r="AM8" s="124"/>
      <c r="AN8" s="124"/>
      <c r="AO8" s="124"/>
      <c r="AP8" s="124"/>
    </row>
    <row r="9" spans="1:42" ht="53.4" customHeight="1" x14ac:dyDescent="0.3">
      <c r="A9" s="95" t="s">
        <v>0</v>
      </c>
      <c r="B9" s="4" t="s">
        <v>2</v>
      </c>
      <c r="C9" s="95" t="s">
        <v>266</v>
      </c>
      <c r="D9" s="4" t="s">
        <v>18</v>
      </c>
      <c r="E9" s="5" t="s">
        <v>267</v>
      </c>
      <c r="F9" s="4">
        <v>4</v>
      </c>
      <c r="G9" s="5" t="s">
        <v>588</v>
      </c>
      <c r="H9" s="3" t="s">
        <v>52</v>
      </c>
      <c r="I9" s="3" t="s">
        <v>73</v>
      </c>
      <c r="J9" s="96" t="s">
        <v>302</v>
      </c>
      <c r="K9" s="97" t="s">
        <v>302</v>
      </c>
      <c r="L9" s="90" t="s">
        <v>302</v>
      </c>
      <c r="M9" s="123"/>
      <c r="N9" s="123"/>
      <c r="O9" s="123"/>
      <c r="P9" s="123"/>
      <c r="Q9" s="123"/>
      <c r="R9" s="123"/>
      <c r="S9" s="123"/>
      <c r="T9" s="123"/>
      <c r="U9" s="123"/>
      <c r="V9" s="123"/>
      <c r="W9" s="125"/>
      <c r="X9" s="125"/>
      <c r="Y9" s="125"/>
      <c r="Z9" s="125"/>
      <c r="AA9" s="125"/>
      <c r="AB9" s="125"/>
      <c r="AC9" s="125"/>
      <c r="AD9" s="125"/>
      <c r="AE9" s="125"/>
      <c r="AF9" s="125"/>
      <c r="AG9" s="125"/>
      <c r="AH9" s="125"/>
      <c r="AI9" s="125"/>
      <c r="AJ9" s="125"/>
      <c r="AK9" s="125"/>
      <c r="AL9" s="125"/>
      <c r="AM9" s="125"/>
      <c r="AN9" s="125"/>
      <c r="AO9" s="125"/>
      <c r="AP9" s="125"/>
    </row>
    <row r="10" spans="1:42" ht="49.95" customHeight="1" x14ac:dyDescent="0.3">
      <c r="A10" s="95" t="s">
        <v>0</v>
      </c>
      <c r="B10" s="4" t="s">
        <v>3</v>
      </c>
      <c r="C10" s="95" t="s">
        <v>62</v>
      </c>
      <c r="D10" s="4" t="s">
        <v>19</v>
      </c>
      <c r="E10" s="5" t="s">
        <v>65</v>
      </c>
      <c r="F10" s="4">
        <v>1</v>
      </c>
      <c r="G10" s="3" t="s">
        <v>589</v>
      </c>
      <c r="H10" s="3" t="s">
        <v>952</v>
      </c>
      <c r="I10" s="3" t="s">
        <v>73</v>
      </c>
      <c r="J10" s="96" t="s">
        <v>590</v>
      </c>
      <c r="K10" s="97">
        <v>160</v>
      </c>
      <c r="L10" s="90">
        <f>K10*125</f>
        <v>20000</v>
      </c>
      <c r="M10" s="122"/>
      <c r="N10" s="123"/>
      <c r="O10" s="123"/>
      <c r="P10" s="123"/>
      <c r="Q10" s="123"/>
      <c r="R10" s="123"/>
      <c r="S10" s="123"/>
      <c r="T10" s="123"/>
      <c r="U10" s="123"/>
      <c r="V10" s="123"/>
      <c r="W10" s="124"/>
      <c r="X10" s="124"/>
      <c r="Y10" s="124"/>
      <c r="Z10" s="124"/>
      <c r="AA10" s="124"/>
      <c r="AB10" s="124"/>
      <c r="AC10" s="124"/>
      <c r="AD10" s="124"/>
      <c r="AE10" s="124"/>
      <c r="AF10" s="124"/>
      <c r="AG10" s="124"/>
      <c r="AH10" s="124"/>
      <c r="AI10" s="124"/>
      <c r="AJ10" s="124"/>
      <c r="AK10" s="124"/>
      <c r="AL10" s="124"/>
      <c r="AM10" s="124"/>
      <c r="AN10" s="124"/>
      <c r="AO10" s="124"/>
      <c r="AP10" s="124"/>
    </row>
    <row r="11" spans="1:42" ht="49.95" customHeight="1" x14ac:dyDescent="0.3">
      <c r="A11" s="95" t="s">
        <v>0</v>
      </c>
      <c r="B11" s="4" t="s">
        <v>3</v>
      </c>
      <c r="C11" s="95" t="s">
        <v>62</v>
      </c>
      <c r="D11" s="4" t="s">
        <v>19</v>
      </c>
      <c r="E11" s="5" t="s">
        <v>65</v>
      </c>
      <c r="F11" s="4">
        <v>2</v>
      </c>
      <c r="G11" s="5" t="s">
        <v>958</v>
      </c>
      <c r="H11" s="3" t="s">
        <v>742</v>
      </c>
      <c r="I11" s="3" t="s">
        <v>73</v>
      </c>
      <c r="J11" s="96" t="s">
        <v>600</v>
      </c>
      <c r="K11" s="97">
        <v>640</v>
      </c>
      <c r="L11" s="90">
        <f>K11*125</f>
        <v>80000</v>
      </c>
      <c r="M11" s="122"/>
      <c r="N11" s="123"/>
      <c r="O11" s="123"/>
      <c r="P11" s="123"/>
      <c r="Q11" s="123"/>
      <c r="R11" s="123"/>
      <c r="S11" s="123"/>
      <c r="T11" s="123"/>
      <c r="U11" s="123"/>
      <c r="V11" s="123"/>
      <c r="W11" s="124"/>
      <c r="X11" s="124"/>
      <c r="Y11" s="124"/>
      <c r="Z11" s="124"/>
      <c r="AA11" s="124"/>
      <c r="AB11" s="124"/>
      <c r="AC11" s="124"/>
      <c r="AD11" s="124"/>
      <c r="AE11" s="124"/>
      <c r="AF11" s="124"/>
      <c r="AG11" s="124"/>
      <c r="AH11" s="124"/>
      <c r="AI11" s="124"/>
      <c r="AJ11" s="124"/>
      <c r="AK11" s="124"/>
      <c r="AL11" s="124"/>
      <c r="AM11" s="124"/>
      <c r="AN11" s="124"/>
      <c r="AO11" s="124"/>
      <c r="AP11" s="124"/>
    </row>
    <row r="12" spans="1:42" ht="49.95" customHeight="1" x14ac:dyDescent="0.3">
      <c r="A12" s="95" t="s">
        <v>0</v>
      </c>
      <c r="B12" s="4" t="s">
        <v>3</v>
      </c>
      <c r="C12" s="95" t="s">
        <v>62</v>
      </c>
      <c r="D12" s="4" t="s">
        <v>19</v>
      </c>
      <c r="E12" s="5" t="s">
        <v>65</v>
      </c>
      <c r="F12" s="4">
        <v>3</v>
      </c>
      <c r="G12" s="5" t="s">
        <v>957</v>
      </c>
      <c r="H12" s="3" t="s">
        <v>742</v>
      </c>
      <c r="I12" s="3" t="s">
        <v>73</v>
      </c>
      <c r="J12" s="96" t="s">
        <v>600</v>
      </c>
      <c r="K12" s="97">
        <v>640</v>
      </c>
      <c r="L12" s="90">
        <f>K12*125</f>
        <v>80000</v>
      </c>
      <c r="M12" s="123"/>
      <c r="N12" s="122"/>
      <c r="O12" s="123"/>
      <c r="P12" s="123"/>
      <c r="Q12" s="123"/>
      <c r="R12" s="123"/>
      <c r="S12" s="123"/>
      <c r="T12" s="123"/>
      <c r="U12" s="123"/>
      <c r="V12" s="123"/>
      <c r="W12" s="124"/>
      <c r="X12" s="124"/>
      <c r="Y12" s="124"/>
      <c r="Z12" s="124"/>
      <c r="AA12" s="124"/>
      <c r="AB12" s="124"/>
      <c r="AC12" s="124"/>
      <c r="AD12" s="124"/>
      <c r="AE12" s="124"/>
      <c r="AF12" s="124"/>
      <c r="AG12" s="124"/>
      <c r="AH12" s="124"/>
      <c r="AI12" s="124"/>
      <c r="AJ12" s="124"/>
      <c r="AK12" s="124"/>
      <c r="AL12" s="124"/>
      <c r="AM12" s="124"/>
      <c r="AN12" s="124"/>
      <c r="AO12" s="124"/>
      <c r="AP12" s="124"/>
    </row>
    <row r="13" spans="1:42" ht="49.95" customHeight="1" x14ac:dyDescent="0.3">
      <c r="A13" s="95" t="s">
        <v>0</v>
      </c>
      <c r="B13" s="4" t="s">
        <v>3</v>
      </c>
      <c r="C13" s="95" t="s">
        <v>62</v>
      </c>
      <c r="D13" s="4" t="s">
        <v>20</v>
      </c>
      <c r="E13" s="5" t="s">
        <v>261</v>
      </c>
      <c r="F13" s="4">
        <v>1</v>
      </c>
      <c r="G13" s="5" t="s">
        <v>592</v>
      </c>
      <c r="H13" s="3" t="s">
        <v>742</v>
      </c>
      <c r="I13" s="3" t="s">
        <v>73</v>
      </c>
      <c r="J13" s="96" t="s">
        <v>743</v>
      </c>
      <c r="K13" s="97">
        <f>250*2*28</f>
        <v>14000</v>
      </c>
      <c r="L13" s="90">
        <f>K13*125</f>
        <v>1750000</v>
      </c>
      <c r="M13" s="123"/>
      <c r="N13" s="123"/>
      <c r="O13" s="122"/>
      <c r="P13" s="122"/>
      <c r="Q13" s="122"/>
      <c r="R13" s="122"/>
      <c r="S13" s="122"/>
      <c r="T13" s="122"/>
      <c r="U13" s="122"/>
      <c r="V13" s="122"/>
      <c r="W13" s="125"/>
      <c r="X13" s="125"/>
      <c r="Y13" s="125"/>
      <c r="Z13" s="125"/>
      <c r="AA13" s="125"/>
      <c r="AB13" s="125"/>
      <c r="AC13" s="125"/>
      <c r="AD13" s="125"/>
      <c r="AE13" s="125"/>
      <c r="AF13" s="125"/>
      <c r="AG13" s="125"/>
      <c r="AH13" s="125"/>
      <c r="AI13" s="125"/>
      <c r="AJ13" s="125"/>
      <c r="AK13" s="125"/>
      <c r="AL13" s="125"/>
      <c r="AM13" s="125"/>
      <c r="AN13" s="125"/>
      <c r="AO13" s="125"/>
      <c r="AP13" s="125"/>
    </row>
    <row r="14" spans="1:42" ht="49.95" customHeight="1" x14ac:dyDescent="0.3">
      <c r="A14" s="95" t="s">
        <v>0</v>
      </c>
      <c r="B14" s="4" t="s">
        <v>3</v>
      </c>
      <c r="C14" s="95" t="s">
        <v>62</v>
      </c>
      <c r="D14" s="4" t="s">
        <v>20</v>
      </c>
      <c r="E14" s="5" t="s">
        <v>261</v>
      </c>
      <c r="F14" s="4">
        <v>2</v>
      </c>
      <c r="G14" s="5" t="s">
        <v>593</v>
      </c>
      <c r="H14" s="3" t="s">
        <v>742</v>
      </c>
      <c r="I14" s="3" t="s">
        <v>72</v>
      </c>
      <c r="J14" s="96" t="s">
        <v>595</v>
      </c>
      <c r="K14" s="97" t="s">
        <v>302</v>
      </c>
      <c r="L14" s="90">
        <f>56*500000</f>
        <v>28000000</v>
      </c>
      <c r="M14" s="123"/>
      <c r="N14" s="123"/>
      <c r="O14" s="123"/>
      <c r="P14" s="122"/>
      <c r="Q14" s="122"/>
      <c r="R14" s="122"/>
      <c r="S14" s="122"/>
      <c r="T14" s="122"/>
      <c r="U14" s="122"/>
      <c r="V14" s="122"/>
      <c r="W14" s="125"/>
      <c r="X14" s="125"/>
      <c r="Y14" s="125"/>
      <c r="Z14" s="125"/>
      <c r="AA14" s="125"/>
      <c r="AB14" s="125"/>
      <c r="AC14" s="125"/>
      <c r="AD14" s="125"/>
      <c r="AE14" s="125"/>
      <c r="AF14" s="125"/>
      <c r="AG14" s="125"/>
      <c r="AH14" s="125"/>
      <c r="AI14" s="125"/>
      <c r="AJ14" s="125"/>
      <c r="AK14" s="125"/>
      <c r="AL14" s="125"/>
      <c r="AM14" s="125"/>
      <c r="AN14" s="125"/>
      <c r="AO14" s="125"/>
      <c r="AP14" s="125"/>
    </row>
    <row r="15" spans="1:42" ht="49.95" customHeight="1" x14ac:dyDescent="0.3">
      <c r="A15" s="95" t="s">
        <v>0</v>
      </c>
      <c r="B15" s="4" t="s">
        <v>3</v>
      </c>
      <c r="C15" s="95" t="s">
        <v>62</v>
      </c>
      <c r="D15" s="4" t="s">
        <v>20</v>
      </c>
      <c r="E15" s="5" t="s">
        <v>261</v>
      </c>
      <c r="F15" s="4">
        <v>3</v>
      </c>
      <c r="G15" s="5" t="s">
        <v>594</v>
      </c>
      <c r="H15" s="3" t="s">
        <v>742</v>
      </c>
      <c r="I15" s="3" t="s">
        <v>73</v>
      </c>
      <c r="J15" s="96" t="s">
        <v>302</v>
      </c>
      <c r="K15" s="97" t="s">
        <v>302</v>
      </c>
      <c r="L15" s="90" t="s">
        <v>302</v>
      </c>
      <c r="M15" s="123"/>
      <c r="N15" s="123"/>
      <c r="O15" s="123"/>
      <c r="P15" s="122"/>
      <c r="Q15" s="122"/>
      <c r="R15" s="122"/>
      <c r="S15" s="122"/>
      <c r="T15" s="122"/>
      <c r="U15" s="122"/>
      <c r="V15" s="122"/>
      <c r="W15" s="125"/>
      <c r="X15" s="125"/>
      <c r="Y15" s="125"/>
      <c r="Z15" s="125"/>
      <c r="AA15" s="125"/>
      <c r="AB15" s="125"/>
      <c r="AC15" s="125"/>
      <c r="AD15" s="125"/>
      <c r="AE15" s="125"/>
      <c r="AF15" s="125"/>
      <c r="AG15" s="125"/>
      <c r="AH15" s="125"/>
      <c r="AI15" s="125"/>
      <c r="AJ15" s="125"/>
      <c r="AK15" s="125"/>
      <c r="AL15" s="125"/>
      <c r="AM15" s="125"/>
      <c r="AN15" s="125"/>
      <c r="AO15" s="125"/>
      <c r="AP15" s="125"/>
    </row>
    <row r="16" spans="1:42" ht="49.95" customHeight="1" x14ac:dyDescent="0.3">
      <c r="A16" s="95" t="s">
        <v>1</v>
      </c>
      <c r="B16" s="4" t="s">
        <v>4</v>
      </c>
      <c r="C16" s="95" t="s">
        <v>59</v>
      </c>
      <c r="D16" s="4" t="s">
        <v>21</v>
      </c>
      <c r="E16" s="5" t="s">
        <v>268</v>
      </c>
      <c r="F16" s="4">
        <v>1</v>
      </c>
      <c r="G16" s="5" t="s">
        <v>596</v>
      </c>
      <c r="H16" s="3" t="s">
        <v>53</v>
      </c>
      <c r="I16" s="3" t="s">
        <v>73</v>
      </c>
      <c r="J16" s="96" t="s">
        <v>590</v>
      </c>
      <c r="K16" s="97">
        <v>160</v>
      </c>
      <c r="L16" s="90">
        <f>K16*125</f>
        <v>20000</v>
      </c>
      <c r="M16" s="122"/>
      <c r="N16" s="123"/>
      <c r="O16" s="123"/>
      <c r="P16" s="123"/>
      <c r="Q16" s="123"/>
      <c r="R16" s="123"/>
      <c r="S16" s="123"/>
      <c r="T16" s="123"/>
      <c r="U16" s="123"/>
      <c r="V16" s="123"/>
      <c r="W16" s="124"/>
      <c r="X16" s="124"/>
      <c r="Y16" s="124"/>
      <c r="Z16" s="124"/>
      <c r="AA16" s="124"/>
      <c r="AB16" s="124"/>
      <c r="AC16" s="124"/>
      <c r="AD16" s="124"/>
      <c r="AE16" s="124"/>
      <c r="AF16" s="124"/>
      <c r="AG16" s="124"/>
      <c r="AH16" s="124"/>
      <c r="AI16" s="124"/>
      <c r="AJ16" s="124"/>
      <c r="AK16" s="124"/>
      <c r="AL16" s="124"/>
      <c r="AM16" s="124"/>
      <c r="AN16" s="124"/>
      <c r="AO16" s="124"/>
      <c r="AP16" s="124"/>
    </row>
    <row r="17" spans="1:42" ht="49.95" customHeight="1" x14ac:dyDescent="0.3">
      <c r="A17" s="95" t="s">
        <v>1</v>
      </c>
      <c r="B17" s="4" t="s">
        <v>4</v>
      </c>
      <c r="C17" s="95" t="s">
        <v>59</v>
      </c>
      <c r="D17" s="4" t="s">
        <v>21</v>
      </c>
      <c r="E17" s="5" t="s">
        <v>268</v>
      </c>
      <c r="F17" s="4">
        <v>2</v>
      </c>
      <c r="G17" s="5" t="s">
        <v>597</v>
      </c>
      <c r="H17" s="3" t="s">
        <v>691</v>
      </c>
      <c r="I17" s="3" t="s">
        <v>72</v>
      </c>
      <c r="J17" s="96" t="s">
        <v>605</v>
      </c>
      <c r="K17" s="97" t="s">
        <v>302</v>
      </c>
      <c r="L17" s="90">
        <v>593876</v>
      </c>
      <c r="M17" s="123"/>
      <c r="N17" s="122"/>
      <c r="O17" s="122"/>
      <c r="P17" s="123"/>
      <c r="Q17" s="123"/>
      <c r="R17" s="123"/>
      <c r="S17" s="123"/>
      <c r="T17" s="123"/>
      <c r="U17" s="123"/>
      <c r="V17" s="123"/>
      <c r="W17" s="124"/>
      <c r="X17" s="124"/>
      <c r="Y17" s="124"/>
      <c r="Z17" s="124"/>
      <c r="AA17" s="124"/>
      <c r="AB17" s="124"/>
      <c r="AC17" s="124"/>
      <c r="AD17" s="124"/>
      <c r="AE17" s="124"/>
      <c r="AF17" s="124"/>
      <c r="AG17" s="124"/>
      <c r="AH17" s="124"/>
      <c r="AI17" s="124"/>
      <c r="AJ17" s="124"/>
      <c r="AK17" s="124"/>
      <c r="AL17" s="124"/>
      <c r="AM17" s="124"/>
      <c r="AN17" s="124"/>
      <c r="AO17" s="124"/>
      <c r="AP17" s="124"/>
    </row>
    <row r="18" spans="1:42" ht="49.95" customHeight="1" x14ac:dyDescent="0.3">
      <c r="A18" s="95" t="s">
        <v>1</v>
      </c>
      <c r="B18" s="4" t="s">
        <v>4</v>
      </c>
      <c r="C18" s="95" t="s">
        <v>59</v>
      </c>
      <c r="D18" s="4" t="s">
        <v>21</v>
      </c>
      <c r="E18" s="5" t="s">
        <v>268</v>
      </c>
      <c r="F18" s="4">
        <v>3</v>
      </c>
      <c r="G18" s="5" t="s">
        <v>598</v>
      </c>
      <c r="H18" s="3" t="s">
        <v>53</v>
      </c>
      <c r="I18" s="3" t="s">
        <v>73</v>
      </c>
      <c r="J18" s="96" t="s">
        <v>599</v>
      </c>
      <c r="K18" s="97">
        <v>960</v>
      </c>
      <c r="L18" s="90">
        <f>K18*125</f>
        <v>120000</v>
      </c>
      <c r="M18" s="123"/>
      <c r="N18" s="123"/>
      <c r="O18" s="122"/>
      <c r="P18" s="123"/>
      <c r="Q18" s="123"/>
      <c r="R18" s="123"/>
      <c r="S18" s="123"/>
      <c r="T18" s="123"/>
      <c r="U18" s="123"/>
      <c r="V18" s="123"/>
      <c r="W18" s="124"/>
      <c r="X18" s="124"/>
      <c r="Y18" s="124"/>
      <c r="Z18" s="124"/>
      <c r="AA18" s="124"/>
      <c r="AB18" s="124"/>
      <c r="AC18" s="124"/>
      <c r="AD18" s="124"/>
      <c r="AE18" s="124"/>
      <c r="AF18" s="124"/>
      <c r="AG18" s="124"/>
      <c r="AH18" s="124"/>
      <c r="AI18" s="124"/>
      <c r="AJ18" s="124"/>
      <c r="AK18" s="124"/>
      <c r="AL18" s="124"/>
      <c r="AM18" s="124"/>
      <c r="AN18" s="124"/>
      <c r="AO18" s="124"/>
      <c r="AP18" s="124"/>
    </row>
    <row r="19" spans="1:42" ht="49.95" customHeight="1" x14ac:dyDescent="0.3">
      <c r="A19" s="95" t="s">
        <v>1</v>
      </c>
      <c r="B19" s="4" t="s">
        <v>4</v>
      </c>
      <c r="C19" s="95" t="s">
        <v>59</v>
      </c>
      <c r="D19" s="4" t="s">
        <v>22</v>
      </c>
      <c r="E19" s="5" t="s">
        <v>269</v>
      </c>
      <c r="F19" s="4">
        <v>1</v>
      </c>
      <c r="G19" s="5" t="s">
        <v>596</v>
      </c>
      <c r="H19" s="3" t="s">
        <v>53</v>
      </c>
      <c r="I19" s="3" t="s">
        <v>73</v>
      </c>
      <c r="J19" s="96" t="s">
        <v>590</v>
      </c>
      <c r="K19" s="97">
        <v>160</v>
      </c>
      <c r="L19" s="90">
        <f>K19*125</f>
        <v>20000</v>
      </c>
      <c r="M19" s="122"/>
      <c r="N19" s="123"/>
      <c r="O19" s="123"/>
      <c r="P19" s="123"/>
      <c r="Q19" s="123"/>
      <c r="R19" s="123"/>
      <c r="S19" s="123"/>
      <c r="T19" s="123"/>
      <c r="U19" s="123"/>
      <c r="V19" s="123"/>
      <c r="W19" s="124"/>
      <c r="X19" s="124"/>
      <c r="Y19" s="124"/>
      <c r="Z19" s="124"/>
      <c r="AA19" s="124"/>
      <c r="AB19" s="124"/>
      <c r="AC19" s="124"/>
      <c r="AD19" s="124"/>
      <c r="AE19" s="124"/>
      <c r="AF19" s="124"/>
      <c r="AG19" s="124"/>
      <c r="AH19" s="124"/>
      <c r="AI19" s="124"/>
      <c r="AJ19" s="124"/>
      <c r="AK19" s="124"/>
      <c r="AL19" s="124"/>
      <c r="AM19" s="124"/>
      <c r="AN19" s="124"/>
      <c r="AO19" s="124"/>
      <c r="AP19" s="124"/>
    </row>
    <row r="20" spans="1:42" ht="49.95" customHeight="1" x14ac:dyDescent="0.3">
      <c r="A20" s="95" t="s">
        <v>1</v>
      </c>
      <c r="B20" s="4" t="s">
        <v>4</v>
      </c>
      <c r="C20" s="95" t="s">
        <v>59</v>
      </c>
      <c r="D20" s="4" t="s">
        <v>22</v>
      </c>
      <c r="E20" s="5" t="s">
        <v>269</v>
      </c>
      <c r="F20" s="4">
        <v>2</v>
      </c>
      <c r="G20" s="5" t="s">
        <v>597</v>
      </c>
      <c r="H20" s="3" t="s">
        <v>692</v>
      </c>
      <c r="I20" s="3" t="s">
        <v>72</v>
      </c>
      <c r="J20" s="96" t="s">
        <v>606</v>
      </c>
      <c r="K20" s="97" t="s">
        <v>302</v>
      </c>
      <c r="L20" s="90">
        <v>593876</v>
      </c>
      <c r="M20" s="123"/>
      <c r="N20" s="122"/>
      <c r="O20" s="122"/>
      <c r="P20" s="123"/>
      <c r="Q20" s="123"/>
      <c r="R20" s="123"/>
      <c r="S20" s="123"/>
      <c r="T20" s="123"/>
      <c r="U20" s="123"/>
      <c r="V20" s="123"/>
      <c r="W20" s="124"/>
      <c r="X20" s="124"/>
      <c r="Y20" s="124"/>
      <c r="Z20" s="124"/>
      <c r="AA20" s="124"/>
      <c r="AB20" s="124"/>
      <c r="AC20" s="124"/>
      <c r="AD20" s="124"/>
      <c r="AE20" s="124"/>
      <c r="AF20" s="124"/>
      <c r="AG20" s="124"/>
      <c r="AH20" s="124"/>
      <c r="AI20" s="124"/>
      <c r="AJ20" s="124"/>
      <c r="AK20" s="124"/>
      <c r="AL20" s="124"/>
      <c r="AM20" s="124"/>
      <c r="AN20" s="124"/>
      <c r="AO20" s="124"/>
      <c r="AP20" s="124"/>
    </row>
    <row r="21" spans="1:42" ht="49.95" customHeight="1" x14ac:dyDescent="0.3">
      <c r="A21" s="95" t="s">
        <v>1</v>
      </c>
      <c r="B21" s="4" t="s">
        <v>4</v>
      </c>
      <c r="C21" s="95" t="s">
        <v>59</v>
      </c>
      <c r="D21" s="4" t="s">
        <v>22</v>
      </c>
      <c r="E21" s="5" t="s">
        <v>269</v>
      </c>
      <c r="F21" s="4">
        <v>3</v>
      </c>
      <c r="G21" s="5" t="s">
        <v>598</v>
      </c>
      <c r="H21" s="3" t="s">
        <v>53</v>
      </c>
      <c r="I21" s="3" t="s">
        <v>73</v>
      </c>
      <c r="J21" s="96" t="s">
        <v>599</v>
      </c>
      <c r="K21" s="97">
        <v>960</v>
      </c>
      <c r="L21" s="90">
        <f>K21*125</f>
        <v>120000</v>
      </c>
      <c r="M21" s="123"/>
      <c r="N21" s="123"/>
      <c r="O21" s="122"/>
      <c r="P21" s="123"/>
      <c r="Q21" s="123"/>
      <c r="R21" s="123"/>
      <c r="S21" s="123"/>
      <c r="T21" s="123"/>
      <c r="U21" s="123"/>
      <c r="V21" s="123"/>
      <c r="W21" s="124"/>
      <c r="X21" s="124"/>
      <c r="Y21" s="124"/>
      <c r="Z21" s="124"/>
      <c r="AA21" s="124"/>
      <c r="AB21" s="124"/>
      <c r="AC21" s="124"/>
      <c r="AD21" s="124"/>
      <c r="AE21" s="124"/>
      <c r="AF21" s="124"/>
      <c r="AG21" s="124"/>
      <c r="AH21" s="124"/>
      <c r="AI21" s="124"/>
      <c r="AJ21" s="124"/>
      <c r="AK21" s="124"/>
      <c r="AL21" s="124"/>
      <c r="AM21" s="124"/>
      <c r="AN21" s="124"/>
      <c r="AO21" s="124"/>
      <c r="AP21" s="124"/>
    </row>
    <row r="22" spans="1:42" ht="49.95" customHeight="1" x14ac:dyDescent="0.3">
      <c r="A22" s="95" t="s">
        <v>1</v>
      </c>
      <c r="B22" s="4" t="s">
        <v>4</v>
      </c>
      <c r="C22" s="95" t="s">
        <v>59</v>
      </c>
      <c r="D22" s="4" t="s">
        <v>23</v>
      </c>
      <c r="E22" s="5" t="s">
        <v>270</v>
      </c>
      <c r="F22" s="4">
        <v>1</v>
      </c>
      <c r="G22" s="5" t="s">
        <v>596</v>
      </c>
      <c r="H22" s="3" t="s">
        <v>53</v>
      </c>
      <c r="I22" s="3" t="s">
        <v>73</v>
      </c>
      <c r="J22" s="96" t="s">
        <v>590</v>
      </c>
      <c r="K22" s="97">
        <v>160</v>
      </c>
      <c r="L22" s="90">
        <f>K22*125</f>
        <v>20000</v>
      </c>
      <c r="M22" s="122"/>
      <c r="N22" s="123"/>
      <c r="O22" s="123"/>
      <c r="P22" s="123"/>
      <c r="Q22" s="123"/>
      <c r="R22" s="123"/>
      <c r="S22" s="123"/>
      <c r="T22" s="123"/>
      <c r="U22" s="123"/>
      <c r="V22" s="123"/>
      <c r="W22" s="124"/>
      <c r="X22" s="124"/>
      <c r="Y22" s="124"/>
      <c r="Z22" s="124"/>
      <c r="AA22" s="124"/>
      <c r="AB22" s="124"/>
      <c r="AC22" s="124"/>
      <c r="AD22" s="124"/>
      <c r="AE22" s="124"/>
      <c r="AF22" s="124"/>
      <c r="AG22" s="124"/>
      <c r="AH22" s="124"/>
      <c r="AI22" s="124"/>
      <c r="AJ22" s="124"/>
      <c r="AK22" s="124"/>
      <c r="AL22" s="124"/>
      <c r="AM22" s="124"/>
      <c r="AN22" s="124"/>
      <c r="AO22" s="124"/>
      <c r="AP22" s="124"/>
    </row>
    <row r="23" spans="1:42" ht="49.95" customHeight="1" x14ac:dyDescent="0.3">
      <c r="A23" s="95" t="s">
        <v>1</v>
      </c>
      <c r="B23" s="4" t="s">
        <v>4</v>
      </c>
      <c r="C23" s="95" t="s">
        <v>59</v>
      </c>
      <c r="D23" s="4" t="s">
        <v>23</v>
      </c>
      <c r="E23" s="5" t="s">
        <v>270</v>
      </c>
      <c r="F23" s="4">
        <v>2</v>
      </c>
      <c r="G23" s="5" t="s">
        <v>597</v>
      </c>
      <c r="H23" s="3" t="s">
        <v>691</v>
      </c>
      <c r="I23" s="3" t="s">
        <v>72</v>
      </c>
      <c r="J23" s="96" t="s">
        <v>608</v>
      </c>
      <c r="K23" s="97" t="s">
        <v>302</v>
      </c>
      <c r="L23" s="90">
        <v>593876</v>
      </c>
      <c r="M23" s="123"/>
      <c r="N23" s="122"/>
      <c r="O23" s="122"/>
      <c r="P23" s="123"/>
      <c r="Q23" s="123"/>
      <c r="R23" s="123"/>
      <c r="S23" s="123"/>
      <c r="T23" s="123"/>
      <c r="U23" s="123"/>
      <c r="V23" s="123"/>
      <c r="W23" s="124"/>
      <c r="X23" s="124"/>
      <c r="Y23" s="124"/>
      <c r="Z23" s="124"/>
      <c r="AA23" s="124"/>
      <c r="AB23" s="124"/>
      <c r="AC23" s="124"/>
      <c r="AD23" s="124"/>
      <c r="AE23" s="124"/>
      <c r="AF23" s="124"/>
      <c r="AG23" s="124"/>
      <c r="AH23" s="124"/>
      <c r="AI23" s="124"/>
      <c r="AJ23" s="124"/>
      <c r="AK23" s="124"/>
      <c r="AL23" s="124"/>
      <c r="AM23" s="124"/>
      <c r="AN23" s="124"/>
      <c r="AO23" s="124"/>
      <c r="AP23" s="124"/>
    </row>
    <row r="24" spans="1:42" ht="49.95" customHeight="1" x14ac:dyDescent="0.3">
      <c r="A24" s="95" t="s">
        <v>1</v>
      </c>
      <c r="B24" s="4" t="s">
        <v>4</v>
      </c>
      <c r="C24" s="95" t="s">
        <v>59</v>
      </c>
      <c r="D24" s="4" t="s">
        <v>23</v>
      </c>
      <c r="E24" s="5" t="s">
        <v>270</v>
      </c>
      <c r="F24" s="4">
        <v>3</v>
      </c>
      <c r="G24" s="5" t="s">
        <v>598</v>
      </c>
      <c r="H24" s="3" t="s">
        <v>53</v>
      </c>
      <c r="I24" s="3" t="s">
        <v>73</v>
      </c>
      <c r="J24" s="96" t="s">
        <v>599</v>
      </c>
      <c r="K24" s="97">
        <v>960</v>
      </c>
      <c r="L24" s="90">
        <f>K24*125</f>
        <v>120000</v>
      </c>
      <c r="M24" s="123"/>
      <c r="N24" s="123"/>
      <c r="O24" s="122"/>
      <c r="P24" s="123"/>
      <c r="Q24" s="123"/>
      <c r="R24" s="123"/>
      <c r="S24" s="123"/>
      <c r="T24" s="123"/>
      <c r="U24" s="123"/>
      <c r="V24" s="123"/>
      <c r="W24" s="124"/>
      <c r="X24" s="124"/>
      <c r="Y24" s="124"/>
      <c r="Z24" s="124"/>
      <c r="AA24" s="124"/>
      <c r="AB24" s="124"/>
      <c r="AC24" s="124"/>
      <c r="AD24" s="124"/>
      <c r="AE24" s="124"/>
      <c r="AF24" s="124"/>
      <c r="AG24" s="124"/>
      <c r="AH24" s="124"/>
      <c r="AI24" s="124"/>
      <c r="AJ24" s="124"/>
      <c r="AK24" s="124"/>
      <c r="AL24" s="124"/>
      <c r="AM24" s="124"/>
      <c r="AN24" s="124"/>
      <c r="AO24" s="124"/>
      <c r="AP24" s="124"/>
    </row>
    <row r="25" spans="1:42" ht="49.95" customHeight="1" x14ac:dyDescent="0.3">
      <c r="A25" s="95" t="s">
        <v>1</v>
      </c>
      <c r="B25" s="4" t="s">
        <v>4</v>
      </c>
      <c r="C25" s="95" t="s">
        <v>59</v>
      </c>
      <c r="D25" s="4" t="s">
        <v>272</v>
      </c>
      <c r="E25" s="5" t="s">
        <v>271</v>
      </c>
      <c r="F25" s="4">
        <v>1</v>
      </c>
      <c r="G25" s="5" t="s">
        <v>616</v>
      </c>
      <c r="H25" s="3" t="s">
        <v>53</v>
      </c>
      <c r="I25" s="3" t="s">
        <v>73</v>
      </c>
      <c r="J25" s="96" t="s">
        <v>591</v>
      </c>
      <c r="K25" s="97">
        <v>320</v>
      </c>
      <c r="L25" s="90">
        <f>K25*125</f>
        <v>40000</v>
      </c>
      <c r="M25" s="123"/>
      <c r="N25" s="123"/>
      <c r="O25" s="122"/>
      <c r="P25" s="123"/>
      <c r="Q25" s="123"/>
      <c r="R25" s="123"/>
      <c r="S25" s="123"/>
      <c r="T25" s="123"/>
      <c r="U25" s="123"/>
      <c r="V25" s="123"/>
      <c r="W25" s="124"/>
      <c r="X25" s="124"/>
      <c r="Y25" s="124"/>
      <c r="Z25" s="124"/>
      <c r="AA25" s="124"/>
      <c r="AB25" s="124"/>
      <c r="AC25" s="124"/>
      <c r="AD25" s="124"/>
      <c r="AE25" s="124"/>
      <c r="AF25" s="124"/>
      <c r="AG25" s="124"/>
      <c r="AH25" s="124"/>
      <c r="AI25" s="124"/>
      <c r="AJ25" s="124"/>
      <c r="AK25" s="124"/>
      <c r="AL25" s="124"/>
      <c r="AM25" s="124"/>
      <c r="AN25" s="124"/>
      <c r="AO25" s="124"/>
      <c r="AP25" s="124"/>
    </row>
    <row r="26" spans="1:42" ht="49.95" customHeight="1" x14ac:dyDescent="0.3">
      <c r="A26" s="95" t="s">
        <v>1</v>
      </c>
      <c r="B26" s="4" t="s">
        <v>4</v>
      </c>
      <c r="C26" s="95" t="s">
        <v>59</v>
      </c>
      <c r="D26" s="4" t="s">
        <v>272</v>
      </c>
      <c r="E26" s="5" t="s">
        <v>271</v>
      </c>
      <c r="F26" s="4">
        <v>2</v>
      </c>
      <c r="G26" s="5" t="s">
        <v>610</v>
      </c>
      <c r="H26" s="3" t="s">
        <v>53</v>
      </c>
      <c r="I26" s="3" t="s">
        <v>73</v>
      </c>
      <c r="J26" s="96" t="s">
        <v>599</v>
      </c>
      <c r="K26" s="97">
        <v>960</v>
      </c>
      <c r="L26" s="90">
        <f>K26*125</f>
        <v>120000</v>
      </c>
      <c r="M26" s="123"/>
      <c r="N26" s="123"/>
      <c r="O26" s="122"/>
      <c r="P26" s="123"/>
      <c r="Q26" s="123"/>
      <c r="R26" s="123"/>
      <c r="S26" s="123"/>
      <c r="T26" s="123"/>
      <c r="U26" s="123"/>
      <c r="V26" s="123"/>
      <c r="W26" s="124"/>
      <c r="X26" s="124"/>
      <c r="Y26" s="124"/>
      <c r="Z26" s="124"/>
      <c r="AA26" s="124"/>
      <c r="AB26" s="124"/>
      <c r="AC26" s="124"/>
      <c r="AD26" s="124"/>
      <c r="AE26" s="124"/>
      <c r="AF26" s="124"/>
      <c r="AG26" s="124"/>
      <c r="AH26" s="124"/>
      <c r="AI26" s="124"/>
      <c r="AJ26" s="124"/>
      <c r="AK26" s="124"/>
      <c r="AL26" s="124"/>
      <c r="AM26" s="124"/>
      <c r="AN26" s="124"/>
      <c r="AO26" s="124"/>
      <c r="AP26" s="124"/>
    </row>
    <row r="27" spans="1:42" ht="49.95" customHeight="1" x14ac:dyDescent="0.3">
      <c r="A27" s="95" t="s">
        <v>1</v>
      </c>
      <c r="B27" s="4" t="s">
        <v>4</v>
      </c>
      <c r="C27" s="95" t="s">
        <v>59</v>
      </c>
      <c r="D27" s="4" t="s">
        <v>272</v>
      </c>
      <c r="E27" s="5" t="s">
        <v>271</v>
      </c>
      <c r="F27" s="4">
        <v>3</v>
      </c>
      <c r="G27" s="5" t="s">
        <v>611</v>
      </c>
      <c r="H27" s="3" t="s">
        <v>53</v>
      </c>
      <c r="I27" s="3" t="s">
        <v>74</v>
      </c>
      <c r="J27" s="96" t="s">
        <v>302</v>
      </c>
      <c r="K27" s="97" t="s">
        <v>302</v>
      </c>
      <c r="L27" s="90" t="s">
        <v>302</v>
      </c>
      <c r="M27" s="123"/>
      <c r="N27" s="123"/>
      <c r="O27" s="123"/>
      <c r="P27" s="122"/>
      <c r="Q27" s="123"/>
      <c r="R27" s="123"/>
      <c r="S27" s="123"/>
      <c r="T27" s="123"/>
      <c r="U27" s="123"/>
      <c r="V27" s="123"/>
      <c r="W27" s="124"/>
      <c r="X27" s="124"/>
      <c r="Y27" s="124"/>
      <c r="Z27" s="124"/>
      <c r="AA27" s="124"/>
      <c r="AB27" s="124"/>
      <c r="AC27" s="124"/>
      <c r="AD27" s="124"/>
      <c r="AE27" s="124"/>
      <c r="AF27" s="124"/>
      <c r="AG27" s="124"/>
      <c r="AH27" s="124"/>
      <c r="AI27" s="124"/>
      <c r="AJ27" s="124"/>
      <c r="AK27" s="124"/>
      <c r="AL27" s="124"/>
      <c r="AM27" s="124"/>
      <c r="AN27" s="124"/>
      <c r="AO27" s="124"/>
      <c r="AP27" s="124"/>
    </row>
    <row r="28" spans="1:42" ht="49.95" customHeight="1" x14ac:dyDescent="0.3">
      <c r="A28" s="95" t="s">
        <v>1</v>
      </c>
      <c r="B28" s="4" t="s">
        <v>4</v>
      </c>
      <c r="C28" s="95" t="s">
        <v>59</v>
      </c>
      <c r="D28" s="4" t="s">
        <v>272</v>
      </c>
      <c r="E28" s="5" t="s">
        <v>271</v>
      </c>
      <c r="F28" s="4">
        <v>4</v>
      </c>
      <c r="G28" s="5" t="s">
        <v>615</v>
      </c>
      <c r="H28" s="3" t="s">
        <v>53</v>
      </c>
      <c r="I28" s="3" t="s">
        <v>72</v>
      </c>
      <c r="J28" s="96" t="s">
        <v>614</v>
      </c>
      <c r="K28" s="97" t="s">
        <v>302</v>
      </c>
      <c r="L28" s="90">
        <v>1188134</v>
      </c>
      <c r="M28" s="123"/>
      <c r="N28" s="123"/>
      <c r="O28" s="123"/>
      <c r="P28" s="123"/>
      <c r="Q28" s="122"/>
      <c r="R28" s="123"/>
      <c r="S28" s="123"/>
      <c r="T28" s="123"/>
      <c r="U28" s="123"/>
      <c r="V28" s="123"/>
      <c r="W28" s="124"/>
      <c r="X28" s="124"/>
      <c r="Y28" s="124"/>
      <c r="Z28" s="124"/>
      <c r="AA28" s="124"/>
      <c r="AB28" s="124"/>
      <c r="AC28" s="124"/>
      <c r="AD28" s="124"/>
      <c r="AE28" s="124"/>
      <c r="AF28" s="124"/>
      <c r="AG28" s="124"/>
      <c r="AH28" s="124"/>
      <c r="AI28" s="124"/>
      <c r="AJ28" s="124"/>
      <c r="AK28" s="124"/>
      <c r="AL28" s="124"/>
      <c r="AM28" s="124"/>
      <c r="AN28" s="124"/>
      <c r="AO28" s="124"/>
      <c r="AP28" s="124"/>
    </row>
    <row r="29" spans="1:42" ht="49.95" customHeight="1" x14ac:dyDescent="0.3">
      <c r="A29" s="95" t="s">
        <v>1</v>
      </c>
      <c r="B29" s="4" t="s">
        <v>5</v>
      </c>
      <c r="C29" s="95" t="s">
        <v>956</v>
      </c>
      <c r="D29" s="4" t="s">
        <v>24</v>
      </c>
      <c r="E29" s="5" t="s">
        <v>953</v>
      </c>
      <c r="F29" s="4">
        <v>1</v>
      </c>
      <c r="G29" s="5" t="s">
        <v>596</v>
      </c>
      <c r="H29" s="3" t="s">
        <v>55</v>
      </c>
      <c r="I29" s="3" t="s">
        <v>73</v>
      </c>
      <c r="J29" s="96" t="s">
        <v>590</v>
      </c>
      <c r="K29" s="97">
        <v>160</v>
      </c>
      <c r="L29" s="90">
        <f t="shared" ref="L29:L38" si="0">K29*125</f>
        <v>20000</v>
      </c>
      <c r="M29" s="123"/>
      <c r="N29" s="122"/>
      <c r="O29" s="123"/>
      <c r="P29" s="123"/>
      <c r="Q29" s="123"/>
      <c r="R29" s="123"/>
      <c r="S29" s="123"/>
      <c r="T29" s="123"/>
      <c r="U29" s="123"/>
      <c r="V29" s="123"/>
      <c r="W29" s="124"/>
      <c r="X29" s="124"/>
      <c r="Y29" s="124"/>
      <c r="Z29" s="124"/>
      <c r="AA29" s="124"/>
      <c r="AB29" s="124"/>
      <c r="AC29" s="124"/>
      <c r="AD29" s="124"/>
      <c r="AE29" s="124"/>
      <c r="AF29" s="124"/>
      <c r="AG29" s="124"/>
      <c r="AH29" s="124"/>
      <c r="AI29" s="124"/>
      <c r="AJ29" s="124"/>
      <c r="AK29" s="124"/>
      <c r="AL29" s="124"/>
      <c r="AM29" s="124"/>
      <c r="AN29" s="124"/>
      <c r="AO29" s="124"/>
      <c r="AP29" s="124"/>
    </row>
    <row r="30" spans="1:42" ht="49.95" customHeight="1" x14ac:dyDescent="0.3">
      <c r="A30" s="95" t="s">
        <v>1</v>
      </c>
      <c r="B30" s="4" t="s">
        <v>5</v>
      </c>
      <c r="C30" s="95" t="s">
        <v>956</v>
      </c>
      <c r="D30" s="4" t="s">
        <v>24</v>
      </c>
      <c r="E30" s="5" t="s">
        <v>953</v>
      </c>
      <c r="F30" s="4">
        <v>2</v>
      </c>
      <c r="G30" s="5" t="s">
        <v>617</v>
      </c>
      <c r="H30" s="3" t="s">
        <v>55</v>
      </c>
      <c r="I30" s="3" t="s">
        <v>73</v>
      </c>
      <c r="J30" s="96" t="s">
        <v>599</v>
      </c>
      <c r="K30" s="97">
        <v>960</v>
      </c>
      <c r="L30" s="90">
        <f t="shared" si="0"/>
        <v>120000</v>
      </c>
      <c r="M30" s="123"/>
      <c r="N30" s="122"/>
      <c r="O30" s="122"/>
      <c r="P30" s="123"/>
      <c r="Q30" s="123"/>
      <c r="R30" s="123"/>
      <c r="S30" s="123"/>
      <c r="T30" s="123"/>
      <c r="U30" s="123"/>
      <c r="V30" s="123"/>
      <c r="W30" s="124"/>
      <c r="X30" s="124"/>
      <c r="Y30" s="124"/>
      <c r="Z30" s="124"/>
      <c r="AA30" s="124"/>
      <c r="AB30" s="124"/>
      <c r="AC30" s="124"/>
      <c r="AD30" s="124"/>
      <c r="AE30" s="124"/>
      <c r="AF30" s="124"/>
      <c r="AG30" s="124"/>
      <c r="AH30" s="124"/>
      <c r="AI30" s="124"/>
      <c r="AJ30" s="124"/>
      <c r="AK30" s="124"/>
      <c r="AL30" s="124"/>
      <c r="AM30" s="124"/>
      <c r="AN30" s="124"/>
      <c r="AO30" s="124"/>
      <c r="AP30" s="124"/>
    </row>
    <row r="31" spans="1:42" ht="49.95" customHeight="1" x14ac:dyDescent="0.3">
      <c r="A31" s="95" t="s">
        <v>1</v>
      </c>
      <c r="B31" s="4" t="s">
        <v>5</v>
      </c>
      <c r="C31" s="95" t="s">
        <v>956</v>
      </c>
      <c r="D31" s="4" t="s">
        <v>24</v>
      </c>
      <c r="E31" s="5" t="s">
        <v>953</v>
      </c>
      <c r="F31" s="4">
        <v>3</v>
      </c>
      <c r="G31" s="5" t="s">
        <v>618</v>
      </c>
      <c r="H31" s="3" t="s">
        <v>55</v>
      </c>
      <c r="I31" s="3" t="s">
        <v>73</v>
      </c>
      <c r="J31" s="96" t="s">
        <v>599</v>
      </c>
      <c r="K31" s="97">
        <v>960</v>
      </c>
      <c r="L31" s="90">
        <f t="shared" si="0"/>
        <v>120000</v>
      </c>
      <c r="M31" s="123"/>
      <c r="N31" s="123"/>
      <c r="O31" s="122"/>
      <c r="P31" s="123"/>
      <c r="Q31" s="123"/>
      <c r="R31" s="123"/>
      <c r="S31" s="123"/>
      <c r="T31" s="123"/>
      <c r="U31" s="123"/>
      <c r="V31" s="123"/>
      <c r="W31" s="124"/>
      <c r="X31" s="124"/>
      <c r="Y31" s="124"/>
      <c r="Z31" s="124"/>
      <c r="AA31" s="124"/>
      <c r="AB31" s="124"/>
      <c r="AC31" s="124"/>
      <c r="AD31" s="124"/>
      <c r="AE31" s="124"/>
      <c r="AF31" s="124"/>
      <c r="AG31" s="124"/>
      <c r="AH31" s="124"/>
      <c r="AI31" s="124"/>
      <c r="AJ31" s="124"/>
      <c r="AK31" s="124"/>
      <c r="AL31" s="124"/>
      <c r="AM31" s="124"/>
      <c r="AN31" s="124"/>
      <c r="AO31" s="124"/>
      <c r="AP31" s="124"/>
    </row>
    <row r="32" spans="1:42" ht="49.95" customHeight="1" x14ac:dyDescent="0.3">
      <c r="A32" s="95" t="s">
        <v>1</v>
      </c>
      <c r="B32" s="4" t="s">
        <v>5</v>
      </c>
      <c r="C32" s="95" t="s">
        <v>956</v>
      </c>
      <c r="D32" s="4" t="s">
        <v>25</v>
      </c>
      <c r="E32" s="5" t="s">
        <v>274</v>
      </c>
      <c r="F32" s="4">
        <v>1</v>
      </c>
      <c r="G32" s="5" t="s">
        <v>596</v>
      </c>
      <c r="H32" s="3" t="s">
        <v>54</v>
      </c>
      <c r="I32" s="3" t="s">
        <v>73</v>
      </c>
      <c r="J32" s="96" t="s">
        <v>590</v>
      </c>
      <c r="K32" s="97">
        <v>160</v>
      </c>
      <c r="L32" s="90">
        <f t="shared" si="0"/>
        <v>20000</v>
      </c>
      <c r="M32" s="123"/>
      <c r="N32" s="122"/>
      <c r="O32" s="123"/>
      <c r="P32" s="123"/>
      <c r="Q32" s="123"/>
      <c r="R32" s="123"/>
      <c r="S32" s="123"/>
      <c r="T32" s="123"/>
      <c r="U32" s="123"/>
      <c r="V32" s="123"/>
      <c r="W32" s="124"/>
      <c r="X32" s="124"/>
      <c r="Y32" s="124"/>
      <c r="Z32" s="124"/>
      <c r="AA32" s="124"/>
      <c r="AB32" s="124"/>
      <c r="AC32" s="124"/>
      <c r="AD32" s="124"/>
      <c r="AE32" s="124"/>
      <c r="AF32" s="124"/>
      <c r="AG32" s="124"/>
      <c r="AH32" s="124"/>
      <c r="AI32" s="124"/>
      <c r="AJ32" s="124"/>
      <c r="AK32" s="124"/>
      <c r="AL32" s="124"/>
      <c r="AM32" s="124"/>
      <c r="AN32" s="124"/>
      <c r="AO32" s="124"/>
      <c r="AP32" s="124"/>
    </row>
    <row r="33" spans="1:42" ht="49.95" customHeight="1" x14ac:dyDescent="0.3">
      <c r="A33" s="95" t="s">
        <v>1</v>
      </c>
      <c r="B33" s="4" t="s">
        <v>5</v>
      </c>
      <c r="C33" s="95" t="s">
        <v>956</v>
      </c>
      <c r="D33" s="4" t="s">
        <v>25</v>
      </c>
      <c r="E33" s="5" t="s">
        <v>274</v>
      </c>
      <c r="F33" s="4">
        <v>2</v>
      </c>
      <c r="G33" s="5" t="s">
        <v>619</v>
      </c>
      <c r="H33" s="3" t="s">
        <v>54</v>
      </c>
      <c r="I33" s="3" t="s">
        <v>73</v>
      </c>
      <c r="J33" s="96" t="s">
        <v>599</v>
      </c>
      <c r="K33" s="97">
        <v>960</v>
      </c>
      <c r="L33" s="90">
        <f t="shared" si="0"/>
        <v>120000</v>
      </c>
      <c r="M33" s="123"/>
      <c r="N33" s="122"/>
      <c r="O33" s="123"/>
      <c r="P33" s="123"/>
      <c r="Q33" s="123"/>
      <c r="R33" s="123"/>
      <c r="S33" s="123"/>
      <c r="T33" s="123"/>
      <c r="U33" s="123"/>
      <c r="V33" s="123"/>
      <c r="W33" s="124"/>
      <c r="X33" s="124"/>
      <c r="Y33" s="124"/>
      <c r="Z33" s="124"/>
      <c r="AA33" s="124"/>
      <c r="AB33" s="124"/>
      <c r="AC33" s="124"/>
      <c r="AD33" s="124"/>
      <c r="AE33" s="124"/>
      <c r="AF33" s="124"/>
      <c r="AG33" s="124"/>
      <c r="AH33" s="124"/>
      <c r="AI33" s="124"/>
      <c r="AJ33" s="124"/>
      <c r="AK33" s="124"/>
      <c r="AL33" s="124"/>
      <c r="AM33" s="124"/>
      <c r="AN33" s="124"/>
      <c r="AO33" s="124"/>
      <c r="AP33" s="124"/>
    </row>
    <row r="34" spans="1:42" ht="49.95" customHeight="1" x14ac:dyDescent="0.3">
      <c r="A34" s="95" t="s">
        <v>1</v>
      </c>
      <c r="B34" s="4" t="s">
        <v>5</v>
      </c>
      <c r="C34" s="95" t="s">
        <v>956</v>
      </c>
      <c r="D34" s="4" t="s">
        <v>25</v>
      </c>
      <c r="E34" s="5" t="s">
        <v>274</v>
      </c>
      <c r="F34" s="4">
        <v>3</v>
      </c>
      <c r="G34" s="5" t="s">
        <v>620</v>
      </c>
      <c r="H34" s="3" t="s">
        <v>54</v>
      </c>
      <c r="I34" s="3" t="s">
        <v>73</v>
      </c>
      <c r="J34" s="96" t="s">
        <v>599</v>
      </c>
      <c r="K34" s="97">
        <v>960</v>
      </c>
      <c r="L34" s="90">
        <f t="shared" si="0"/>
        <v>120000</v>
      </c>
      <c r="M34" s="123"/>
      <c r="N34" s="123"/>
      <c r="O34" s="122"/>
      <c r="P34" s="123"/>
      <c r="Q34" s="123"/>
      <c r="R34" s="123"/>
      <c r="S34" s="123"/>
      <c r="T34" s="123"/>
      <c r="U34" s="123"/>
      <c r="V34" s="123"/>
      <c r="W34" s="124"/>
      <c r="X34" s="124"/>
      <c r="Y34" s="124"/>
      <c r="Z34" s="124"/>
      <c r="AA34" s="124"/>
      <c r="AB34" s="124"/>
      <c r="AC34" s="124"/>
      <c r="AD34" s="124"/>
      <c r="AE34" s="124"/>
      <c r="AF34" s="124"/>
      <c r="AG34" s="124"/>
      <c r="AH34" s="124"/>
      <c r="AI34" s="124"/>
      <c r="AJ34" s="124"/>
      <c r="AK34" s="124"/>
      <c r="AL34" s="124"/>
      <c r="AM34" s="124"/>
      <c r="AN34" s="124"/>
      <c r="AO34" s="124"/>
      <c r="AP34" s="124"/>
    </row>
    <row r="35" spans="1:42" ht="49.95" customHeight="1" x14ac:dyDescent="0.3">
      <c r="A35" s="95" t="s">
        <v>1</v>
      </c>
      <c r="B35" s="4" t="s">
        <v>5</v>
      </c>
      <c r="C35" s="95" t="s">
        <v>956</v>
      </c>
      <c r="D35" s="4" t="s">
        <v>25</v>
      </c>
      <c r="E35" s="5" t="s">
        <v>274</v>
      </c>
      <c r="F35" s="4">
        <v>4</v>
      </c>
      <c r="G35" s="5" t="s">
        <v>621</v>
      </c>
      <c r="H35" s="3" t="s">
        <v>54</v>
      </c>
      <c r="I35" s="3" t="s">
        <v>73</v>
      </c>
      <c r="J35" s="96" t="s">
        <v>599</v>
      </c>
      <c r="K35" s="97">
        <v>960</v>
      </c>
      <c r="L35" s="90">
        <f t="shared" si="0"/>
        <v>120000</v>
      </c>
      <c r="M35" s="123"/>
      <c r="N35" s="123"/>
      <c r="O35" s="122"/>
      <c r="P35" s="123"/>
      <c r="Q35" s="123"/>
      <c r="R35" s="123"/>
      <c r="S35" s="123"/>
      <c r="T35" s="123"/>
      <c r="U35" s="123"/>
      <c r="V35" s="123"/>
      <c r="W35" s="124"/>
      <c r="X35" s="124"/>
      <c r="Y35" s="124"/>
      <c r="Z35" s="124"/>
      <c r="AA35" s="124"/>
      <c r="AB35" s="124"/>
      <c r="AC35" s="124"/>
      <c r="AD35" s="124"/>
      <c r="AE35" s="124"/>
      <c r="AF35" s="124"/>
      <c r="AG35" s="124"/>
      <c r="AH35" s="124"/>
      <c r="AI35" s="124"/>
      <c r="AJ35" s="124"/>
      <c r="AK35" s="124"/>
      <c r="AL35" s="124"/>
      <c r="AM35" s="124"/>
      <c r="AN35" s="124"/>
      <c r="AO35" s="124"/>
      <c r="AP35" s="124"/>
    </row>
    <row r="36" spans="1:42" ht="49.95" customHeight="1" x14ac:dyDescent="0.3">
      <c r="A36" s="95" t="s">
        <v>1</v>
      </c>
      <c r="B36" s="4" t="s">
        <v>6</v>
      </c>
      <c r="C36" s="95" t="s">
        <v>275</v>
      </c>
      <c r="D36" s="4" t="s">
        <v>26</v>
      </c>
      <c r="E36" s="5" t="s">
        <v>276</v>
      </c>
      <c r="F36" s="4">
        <v>1</v>
      </c>
      <c r="G36" s="5" t="s">
        <v>596</v>
      </c>
      <c r="H36" s="3" t="s">
        <v>55</v>
      </c>
      <c r="I36" s="3" t="s">
        <v>73</v>
      </c>
      <c r="J36" s="96" t="s">
        <v>590</v>
      </c>
      <c r="K36" s="97">
        <v>160</v>
      </c>
      <c r="L36" s="90">
        <f t="shared" si="0"/>
        <v>20000</v>
      </c>
      <c r="M36" s="123"/>
      <c r="N36" s="122"/>
      <c r="O36" s="123"/>
      <c r="P36" s="123"/>
      <c r="Q36" s="123"/>
      <c r="R36" s="123"/>
      <c r="S36" s="123"/>
      <c r="T36" s="123"/>
      <c r="U36" s="123"/>
      <c r="V36" s="123"/>
      <c r="W36" s="124"/>
      <c r="X36" s="124"/>
      <c r="Y36" s="124"/>
      <c r="Z36" s="124"/>
      <c r="AA36" s="124"/>
      <c r="AB36" s="124"/>
      <c r="AC36" s="124"/>
      <c r="AD36" s="124"/>
      <c r="AE36" s="124"/>
      <c r="AF36" s="124"/>
      <c r="AG36" s="124"/>
      <c r="AH36" s="124"/>
      <c r="AI36" s="124"/>
      <c r="AJ36" s="124"/>
      <c r="AK36" s="124"/>
      <c r="AL36" s="124"/>
      <c r="AM36" s="124"/>
      <c r="AN36" s="124"/>
      <c r="AO36" s="124"/>
      <c r="AP36" s="124"/>
    </row>
    <row r="37" spans="1:42" ht="49.95" customHeight="1" x14ac:dyDescent="0.3">
      <c r="A37" s="95" t="s">
        <v>1</v>
      </c>
      <c r="B37" s="4" t="s">
        <v>6</v>
      </c>
      <c r="C37" s="95" t="s">
        <v>275</v>
      </c>
      <c r="D37" s="4" t="s">
        <v>26</v>
      </c>
      <c r="E37" s="5" t="s">
        <v>276</v>
      </c>
      <c r="F37" s="4">
        <v>2</v>
      </c>
      <c r="G37" s="5" t="s">
        <v>622</v>
      </c>
      <c r="H37" s="3" t="s">
        <v>55</v>
      </c>
      <c r="I37" s="3" t="s">
        <v>73</v>
      </c>
      <c r="J37" s="96" t="s">
        <v>599</v>
      </c>
      <c r="K37" s="97">
        <v>960</v>
      </c>
      <c r="L37" s="90">
        <f t="shared" si="0"/>
        <v>120000</v>
      </c>
      <c r="M37" s="123"/>
      <c r="N37" s="122"/>
      <c r="O37" s="123"/>
      <c r="P37" s="123"/>
      <c r="Q37" s="123"/>
      <c r="R37" s="123"/>
      <c r="S37" s="123"/>
      <c r="T37" s="123"/>
      <c r="U37" s="123"/>
      <c r="V37" s="123"/>
      <c r="W37" s="124"/>
      <c r="X37" s="124"/>
      <c r="Y37" s="124"/>
      <c r="Z37" s="124"/>
      <c r="AA37" s="124"/>
      <c r="AB37" s="124"/>
      <c r="AC37" s="124"/>
      <c r="AD37" s="124"/>
      <c r="AE37" s="124"/>
      <c r="AF37" s="124"/>
      <c r="AG37" s="124"/>
      <c r="AH37" s="124"/>
      <c r="AI37" s="124"/>
      <c r="AJ37" s="124"/>
      <c r="AK37" s="124"/>
      <c r="AL37" s="124"/>
      <c r="AM37" s="124"/>
      <c r="AN37" s="124"/>
      <c r="AO37" s="124"/>
      <c r="AP37" s="124"/>
    </row>
    <row r="38" spans="1:42" ht="49.95" customHeight="1" x14ac:dyDescent="0.3">
      <c r="A38" s="95" t="s">
        <v>1</v>
      </c>
      <c r="B38" s="4" t="s">
        <v>6</v>
      </c>
      <c r="C38" s="95" t="s">
        <v>275</v>
      </c>
      <c r="D38" s="4" t="s">
        <v>26</v>
      </c>
      <c r="E38" s="5" t="s">
        <v>276</v>
      </c>
      <c r="F38" s="4">
        <v>3</v>
      </c>
      <c r="G38" s="5" t="s">
        <v>623</v>
      </c>
      <c r="H38" s="3" t="s">
        <v>55</v>
      </c>
      <c r="I38" s="3" t="s">
        <v>73</v>
      </c>
      <c r="J38" s="96" t="s">
        <v>590</v>
      </c>
      <c r="K38" s="97">
        <v>160</v>
      </c>
      <c r="L38" s="90">
        <f t="shared" si="0"/>
        <v>20000</v>
      </c>
      <c r="M38" s="123"/>
      <c r="N38" s="123"/>
      <c r="O38" s="122"/>
      <c r="P38" s="123"/>
      <c r="Q38" s="123"/>
      <c r="R38" s="123"/>
      <c r="S38" s="123"/>
      <c r="T38" s="123"/>
      <c r="U38" s="123"/>
      <c r="V38" s="123"/>
      <c r="W38" s="124"/>
      <c r="X38" s="124"/>
      <c r="Y38" s="124"/>
      <c r="Z38" s="124"/>
      <c r="AA38" s="124"/>
      <c r="AB38" s="124"/>
      <c r="AC38" s="124"/>
      <c r="AD38" s="124"/>
      <c r="AE38" s="124"/>
      <c r="AF38" s="124"/>
      <c r="AG38" s="124"/>
      <c r="AH38" s="124"/>
      <c r="AI38" s="124"/>
      <c r="AJ38" s="124"/>
      <c r="AK38" s="124"/>
      <c r="AL38" s="124"/>
      <c r="AM38" s="124"/>
      <c r="AN38" s="124"/>
      <c r="AO38" s="124"/>
      <c r="AP38" s="124"/>
    </row>
    <row r="39" spans="1:42" ht="49.95" customHeight="1" x14ac:dyDescent="0.3">
      <c r="A39" s="95" t="s">
        <v>1</v>
      </c>
      <c r="B39" s="4" t="s">
        <v>6</v>
      </c>
      <c r="C39" s="95" t="s">
        <v>275</v>
      </c>
      <c r="D39" s="4" t="s">
        <v>26</v>
      </c>
      <c r="E39" s="5" t="s">
        <v>276</v>
      </c>
      <c r="F39" s="4">
        <v>4</v>
      </c>
      <c r="G39" s="5" t="s">
        <v>624</v>
      </c>
      <c r="H39" s="3" t="s">
        <v>55</v>
      </c>
      <c r="I39" s="3" t="s">
        <v>73</v>
      </c>
      <c r="J39" s="96" t="s">
        <v>302</v>
      </c>
      <c r="K39" s="97" t="s">
        <v>302</v>
      </c>
      <c r="L39" s="90" t="s">
        <v>302</v>
      </c>
      <c r="M39" s="123"/>
      <c r="N39" s="123"/>
      <c r="O39" s="126"/>
      <c r="P39" s="126"/>
      <c r="Q39" s="126"/>
      <c r="R39" s="126"/>
      <c r="S39" s="126"/>
      <c r="T39" s="126"/>
      <c r="U39" s="126"/>
      <c r="V39" s="126"/>
      <c r="W39" s="127"/>
      <c r="X39" s="127"/>
      <c r="Y39" s="127"/>
      <c r="Z39" s="127"/>
      <c r="AA39" s="127"/>
      <c r="AB39" s="127"/>
      <c r="AC39" s="127"/>
      <c r="AD39" s="127"/>
      <c r="AE39" s="127"/>
      <c r="AF39" s="127"/>
      <c r="AG39" s="127"/>
      <c r="AH39" s="127"/>
      <c r="AI39" s="127"/>
      <c r="AJ39" s="127"/>
      <c r="AK39" s="127"/>
      <c r="AL39" s="127"/>
      <c r="AM39" s="127"/>
      <c r="AN39" s="127"/>
      <c r="AO39" s="127"/>
      <c r="AP39" s="127"/>
    </row>
    <row r="40" spans="1:42" ht="49.95" customHeight="1" x14ac:dyDescent="0.3">
      <c r="A40" s="95" t="s">
        <v>1</v>
      </c>
      <c r="B40" s="4" t="s">
        <v>6</v>
      </c>
      <c r="C40" s="95" t="s">
        <v>275</v>
      </c>
      <c r="D40" s="4" t="s">
        <v>27</v>
      </c>
      <c r="E40" s="5" t="s">
        <v>299</v>
      </c>
      <c r="F40" s="4">
        <v>1</v>
      </c>
      <c r="G40" s="5" t="s">
        <v>596</v>
      </c>
      <c r="H40" s="3" t="s">
        <v>55</v>
      </c>
      <c r="I40" s="3" t="s">
        <v>73</v>
      </c>
      <c r="J40" s="96" t="s">
        <v>590</v>
      </c>
      <c r="K40" s="97">
        <v>160</v>
      </c>
      <c r="L40" s="90">
        <f>K40*125</f>
        <v>20000</v>
      </c>
      <c r="M40" s="123"/>
      <c r="N40" s="123"/>
      <c r="O40" s="123"/>
      <c r="P40" s="122"/>
      <c r="Q40" s="123"/>
      <c r="R40" s="123"/>
      <c r="S40" s="123"/>
      <c r="T40" s="123"/>
      <c r="U40" s="123"/>
      <c r="V40" s="123"/>
      <c r="W40" s="124"/>
      <c r="X40" s="124"/>
      <c r="Y40" s="124"/>
      <c r="Z40" s="124"/>
      <c r="AA40" s="124"/>
      <c r="AB40" s="124"/>
      <c r="AC40" s="124"/>
      <c r="AD40" s="124"/>
      <c r="AE40" s="124"/>
      <c r="AF40" s="124"/>
      <c r="AG40" s="124"/>
      <c r="AH40" s="124"/>
      <c r="AI40" s="124"/>
      <c r="AJ40" s="124"/>
      <c r="AK40" s="124"/>
      <c r="AL40" s="124"/>
      <c r="AM40" s="124"/>
      <c r="AN40" s="124"/>
      <c r="AO40" s="124"/>
      <c r="AP40" s="124"/>
    </row>
    <row r="41" spans="1:42" ht="49.95" customHeight="1" x14ac:dyDescent="0.3">
      <c r="A41" s="95" t="s">
        <v>1</v>
      </c>
      <c r="B41" s="4" t="s">
        <v>6</v>
      </c>
      <c r="C41" s="95" t="s">
        <v>275</v>
      </c>
      <c r="D41" s="4" t="s">
        <v>27</v>
      </c>
      <c r="E41" s="5" t="s">
        <v>299</v>
      </c>
      <c r="F41" s="4">
        <v>2</v>
      </c>
      <c r="G41" s="5" t="s">
        <v>625</v>
      </c>
      <c r="H41" s="3" t="s">
        <v>55</v>
      </c>
      <c r="I41" s="3" t="s">
        <v>73</v>
      </c>
      <c r="J41" s="96" t="s">
        <v>599</v>
      </c>
      <c r="K41" s="97">
        <v>960</v>
      </c>
      <c r="L41" s="90">
        <f>K41*125</f>
        <v>120000</v>
      </c>
      <c r="M41" s="123"/>
      <c r="N41" s="123"/>
      <c r="O41" s="123"/>
      <c r="P41" s="122"/>
      <c r="Q41" s="123"/>
      <c r="R41" s="123"/>
      <c r="S41" s="123"/>
      <c r="T41" s="123"/>
      <c r="U41" s="123"/>
      <c r="V41" s="123"/>
      <c r="W41" s="124"/>
      <c r="X41" s="124"/>
      <c r="Y41" s="124"/>
      <c r="Z41" s="124"/>
      <c r="AA41" s="124"/>
      <c r="AB41" s="124"/>
      <c r="AC41" s="124"/>
      <c r="AD41" s="124"/>
      <c r="AE41" s="124"/>
      <c r="AF41" s="124"/>
      <c r="AG41" s="124"/>
      <c r="AH41" s="124"/>
      <c r="AI41" s="124"/>
      <c r="AJ41" s="124"/>
      <c r="AK41" s="124"/>
      <c r="AL41" s="124"/>
      <c r="AM41" s="124"/>
      <c r="AN41" s="124"/>
      <c r="AO41" s="124"/>
      <c r="AP41" s="124"/>
    </row>
    <row r="42" spans="1:42" ht="49.95" customHeight="1" x14ac:dyDescent="0.3">
      <c r="A42" s="95" t="s">
        <v>1</v>
      </c>
      <c r="B42" s="4" t="s">
        <v>6</v>
      </c>
      <c r="C42" s="95" t="s">
        <v>275</v>
      </c>
      <c r="D42" s="4" t="s">
        <v>27</v>
      </c>
      <c r="E42" s="5" t="s">
        <v>299</v>
      </c>
      <c r="F42" s="4">
        <v>3</v>
      </c>
      <c r="G42" s="5" t="s">
        <v>626</v>
      </c>
      <c r="H42" s="3" t="s">
        <v>55</v>
      </c>
      <c r="I42" s="3" t="s">
        <v>73</v>
      </c>
      <c r="J42" s="96" t="s">
        <v>600</v>
      </c>
      <c r="K42" s="97">
        <v>640</v>
      </c>
      <c r="L42" s="90">
        <f>K42*125</f>
        <v>80000</v>
      </c>
      <c r="M42" s="123"/>
      <c r="N42" s="123"/>
      <c r="O42" s="123"/>
      <c r="P42" s="123"/>
      <c r="Q42" s="122"/>
      <c r="R42" s="123"/>
      <c r="S42" s="123"/>
      <c r="T42" s="123"/>
      <c r="U42" s="123"/>
      <c r="V42" s="123"/>
      <c r="W42" s="124"/>
      <c r="X42" s="124"/>
      <c r="Y42" s="124"/>
      <c r="Z42" s="124"/>
      <c r="AA42" s="124"/>
      <c r="AB42" s="124"/>
      <c r="AC42" s="124"/>
      <c r="AD42" s="124"/>
      <c r="AE42" s="124"/>
      <c r="AF42" s="124"/>
      <c r="AG42" s="124"/>
      <c r="AH42" s="124"/>
      <c r="AI42" s="124"/>
      <c r="AJ42" s="124"/>
      <c r="AK42" s="124"/>
      <c r="AL42" s="124"/>
      <c r="AM42" s="124"/>
      <c r="AN42" s="124"/>
      <c r="AO42" s="124"/>
      <c r="AP42" s="124"/>
    </row>
    <row r="43" spans="1:42" ht="49.95" customHeight="1" x14ac:dyDescent="0.3">
      <c r="A43" s="95" t="s">
        <v>1</v>
      </c>
      <c r="B43" s="4" t="s">
        <v>6</v>
      </c>
      <c r="C43" s="95" t="s">
        <v>275</v>
      </c>
      <c r="D43" s="4" t="s">
        <v>27</v>
      </c>
      <c r="E43" s="5" t="s">
        <v>299</v>
      </c>
      <c r="F43" s="4">
        <v>4</v>
      </c>
      <c r="G43" s="5" t="s">
        <v>627</v>
      </c>
      <c r="H43" s="3" t="s">
        <v>55</v>
      </c>
      <c r="I43" s="3" t="s">
        <v>73</v>
      </c>
      <c r="J43" s="96" t="s">
        <v>302</v>
      </c>
      <c r="K43" s="97" t="s">
        <v>302</v>
      </c>
      <c r="L43" s="90" t="s">
        <v>302</v>
      </c>
      <c r="M43" s="123"/>
      <c r="N43" s="123"/>
      <c r="O43" s="123"/>
      <c r="P43" s="123"/>
      <c r="Q43" s="126"/>
      <c r="R43" s="126"/>
      <c r="S43" s="126"/>
      <c r="T43" s="126"/>
      <c r="U43" s="126"/>
      <c r="V43" s="126"/>
      <c r="W43" s="127"/>
      <c r="X43" s="127"/>
      <c r="Y43" s="127"/>
      <c r="Z43" s="127"/>
      <c r="AA43" s="127"/>
      <c r="AB43" s="127"/>
      <c r="AC43" s="127"/>
      <c r="AD43" s="127"/>
      <c r="AE43" s="127"/>
      <c r="AF43" s="127"/>
      <c r="AG43" s="127"/>
      <c r="AH43" s="127"/>
      <c r="AI43" s="127"/>
      <c r="AJ43" s="127"/>
      <c r="AK43" s="127"/>
      <c r="AL43" s="127"/>
      <c r="AM43" s="127"/>
      <c r="AN43" s="127"/>
      <c r="AO43" s="127"/>
      <c r="AP43" s="127"/>
    </row>
    <row r="44" spans="1:42" ht="49.95" customHeight="1" x14ac:dyDescent="0.3">
      <c r="A44" s="95" t="s">
        <v>31</v>
      </c>
      <c r="B44" s="4" t="s">
        <v>7</v>
      </c>
      <c r="C44" s="95" t="s">
        <v>775</v>
      </c>
      <c r="D44" s="4" t="s">
        <v>28</v>
      </c>
      <c r="E44" s="5" t="s">
        <v>67</v>
      </c>
      <c r="F44" s="4">
        <v>1</v>
      </c>
      <c r="G44" s="5" t="s">
        <v>628</v>
      </c>
      <c r="H44" s="3" t="s">
        <v>55</v>
      </c>
      <c r="I44" s="3" t="s">
        <v>73</v>
      </c>
      <c r="J44" s="96" t="s">
        <v>300</v>
      </c>
      <c r="K44" s="97">
        <v>150</v>
      </c>
      <c r="L44" s="90">
        <f>K44*125</f>
        <v>18750</v>
      </c>
      <c r="M44" s="122"/>
      <c r="N44" s="123"/>
      <c r="O44" s="123"/>
      <c r="P44" s="123"/>
      <c r="Q44" s="123"/>
      <c r="R44" s="123"/>
      <c r="S44" s="123"/>
      <c r="T44" s="123"/>
      <c r="U44" s="123"/>
      <c r="V44" s="123"/>
      <c r="W44" s="124"/>
      <c r="X44" s="124"/>
      <c r="Y44" s="124"/>
      <c r="Z44" s="124"/>
      <c r="AA44" s="124"/>
      <c r="AB44" s="124"/>
      <c r="AC44" s="124"/>
      <c r="AD44" s="124"/>
      <c r="AE44" s="124"/>
      <c r="AF44" s="124"/>
      <c r="AG44" s="124"/>
      <c r="AH44" s="124"/>
      <c r="AI44" s="124"/>
      <c r="AJ44" s="124"/>
      <c r="AK44" s="124"/>
      <c r="AL44" s="124"/>
      <c r="AM44" s="124"/>
      <c r="AN44" s="124"/>
      <c r="AO44" s="124"/>
      <c r="AP44" s="124"/>
    </row>
    <row r="45" spans="1:42" ht="49.95" customHeight="1" x14ac:dyDescent="0.3">
      <c r="A45" s="95" t="s">
        <v>31</v>
      </c>
      <c r="B45" s="4" t="s">
        <v>7</v>
      </c>
      <c r="C45" s="95" t="s">
        <v>775</v>
      </c>
      <c r="D45" s="4" t="s">
        <v>28</v>
      </c>
      <c r="E45" s="5" t="s">
        <v>67</v>
      </c>
      <c r="F45" s="4">
        <v>2</v>
      </c>
      <c r="G45" s="5" t="s">
        <v>629</v>
      </c>
      <c r="H45" s="3" t="s">
        <v>55</v>
      </c>
      <c r="I45" s="3" t="s">
        <v>73</v>
      </c>
      <c r="J45" s="96" t="s">
        <v>686</v>
      </c>
      <c r="K45" s="97">
        <v>250</v>
      </c>
      <c r="L45" s="90">
        <f>K45*125</f>
        <v>31250</v>
      </c>
      <c r="M45" s="122"/>
      <c r="N45" s="123"/>
      <c r="O45" s="123"/>
      <c r="P45" s="123"/>
      <c r="Q45" s="123"/>
      <c r="R45" s="123"/>
      <c r="S45" s="123"/>
      <c r="T45" s="123"/>
      <c r="U45" s="123"/>
      <c r="V45" s="123"/>
      <c r="W45" s="124"/>
      <c r="X45" s="124"/>
      <c r="Y45" s="124"/>
      <c r="Z45" s="124"/>
      <c r="AA45" s="124"/>
      <c r="AB45" s="124"/>
      <c r="AC45" s="124"/>
      <c r="AD45" s="124"/>
      <c r="AE45" s="124"/>
      <c r="AF45" s="124"/>
      <c r="AG45" s="124"/>
      <c r="AH45" s="124"/>
      <c r="AI45" s="124"/>
      <c r="AJ45" s="124"/>
      <c r="AK45" s="124"/>
      <c r="AL45" s="124"/>
      <c r="AM45" s="124"/>
      <c r="AN45" s="124"/>
      <c r="AO45" s="124"/>
      <c r="AP45" s="124"/>
    </row>
    <row r="46" spans="1:42" ht="49.95" customHeight="1" x14ac:dyDescent="0.3">
      <c r="A46" s="95" t="s">
        <v>31</v>
      </c>
      <c r="B46" s="4" t="s">
        <v>7</v>
      </c>
      <c r="C46" s="95" t="s">
        <v>775</v>
      </c>
      <c r="D46" s="4" t="s">
        <v>28</v>
      </c>
      <c r="E46" s="5" t="s">
        <v>67</v>
      </c>
      <c r="F46" s="4">
        <v>3</v>
      </c>
      <c r="G46" s="5" t="s">
        <v>630</v>
      </c>
      <c r="H46" s="3" t="s">
        <v>55</v>
      </c>
      <c r="I46" s="3" t="s">
        <v>72</v>
      </c>
      <c r="J46" s="96" t="s">
        <v>687</v>
      </c>
      <c r="K46" s="97" t="s">
        <v>302</v>
      </c>
      <c r="L46" s="90">
        <v>2752486</v>
      </c>
      <c r="M46" s="123"/>
      <c r="N46" s="122"/>
      <c r="O46" s="122"/>
      <c r="P46" s="123"/>
      <c r="Q46" s="123"/>
      <c r="R46" s="123"/>
      <c r="S46" s="123"/>
      <c r="T46" s="123"/>
      <c r="U46" s="123"/>
      <c r="V46" s="123"/>
      <c r="W46" s="124"/>
      <c r="X46" s="124"/>
      <c r="Y46" s="124"/>
      <c r="Z46" s="124"/>
      <c r="AA46" s="124"/>
      <c r="AB46" s="124"/>
      <c r="AC46" s="124"/>
      <c r="AD46" s="124"/>
      <c r="AE46" s="124"/>
      <c r="AF46" s="124"/>
      <c r="AG46" s="124"/>
      <c r="AH46" s="124"/>
      <c r="AI46" s="124"/>
      <c r="AJ46" s="124"/>
      <c r="AK46" s="124"/>
      <c r="AL46" s="124"/>
      <c r="AM46" s="124"/>
      <c r="AN46" s="124"/>
      <c r="AO46" s="124"/>
      <c r="AP46" s="124"/>
    </row>
    <row r="47" spans="1:42" ht="49.95" customHeight="1" x14ac:dyDescent="0.3">
      <c r="A47" s="95" t="s">
        <v>31</v>
      </c>
      <c r="B47" s="4" t="s">
        <v>7</v>
      </c>
      <c r="C47" s="95" t="s">
        <v>775</v>
      </c>
      <c r="D47" s="4" t="s">
        <v>29</v>
      </c>
      <c r="E47" s="5" t="s">
        <v>277</v>
      </c>
      <c r="F47" s="4">
        <v>1</v>
      </c>
      <c r="G47" s="5" t="s">
        <v>628</v>
      </c>
      <c r="H47" s="3" t="s">
        <v>53</v>
      </c>
      <c r="I47" s="3" t="s">
        <v>73</v>
      </c>
      <c r="J47" s="96" t="s">
        <v>300</v>
      </c>
      <c r="K47" s="97">
        <v>150</v>
      </c>
      <c r="L47" s="90">
        <f>K47*125</f>
        <v>18750</v>
      </c>
      <c r="M47" s="123"/>
      <c r="N47" s="123"/>
      <c r="O47" s="123"/>
      <c r="P47" s="123"/>
      <c r="Q47" s="122"/>
      <c r="R47" s="123"/>
      <c r="S47" s="123"/>
      <c r="T47" s="123"/>
      <c r="U47" s="123"/>
      <c r="V47" s="123"/>
      <c r="W47" s="124"/>
      <c r="X47" s="124"/>
      <c r="Y47" s="124"/>
      <c r="Z47" s="124"/>
      <c r="AA47" s="124"/>
      <c r="AB47" s="124"/>
      <c r="AC47" s="124"/>
      <c r="AD47" s="124"/>
      <c r="AE47" s="124"/>
      <c r="AF47" s="124"/>
      <c r="AG47" s="124"/>
      <c r="AH47" s="124"/>
      <c r="AI47" s="124"/>
      <c r="AJ47" s="124"/>
      <c r="AK47" s="124"/>
      <c r="AL47" s="124"/>
      <c r="AM47" s="124"/>
      <c r="AN47" s="124"/>
      <c r="AO47" s="124"/>
      <c r="AP47" s="124"/>
    </row>
    <row r="48" spans="1:42" ht="49.95" customHeight="1" x14ac:dyDescent="0.3">
      <c r="A48" s="95" t="s">
        <v>31</v>
      </c>
      <c r="B48" s="4" t="s">
        <v>7</v>
      </c>
      <c r="C48" s="95" t="s">
        <v>775</v>
      </c>
      <c r="D48" s="4" t="s">
        <v>29</v>
      </c>
      <c r="E48" s="5" t="s">
        <v>277</v>
      </c>
      <c r="F48" s="4">
        <v>2</v>
      </c>
      <c r="G48" s="5" t="s">
        <v>629</v>
      </c>
      <c r="H48" s="3" t="s">
        <v>53</v>
      </c>
      <c r="I48" s="3" t="s">
        <v>73</v>
      </c>
      <c r="J48" s="96" t="s">
        <v>686</v>
      </c>
      <c r="K48" s="97">
        <v>250</v>
      </c>
      <c r="L48" s="90">
        <f>K48*125</f>
        <v>31250</v>
      </c>
      <c r="M48" s="123"/>
      <c r="N48" s="123"/>
      <c r="O48" s="123"/>
      <c r="P48" s="123"/>
      <c r="Q48" s="122"/>
      <c r="R48" s="123"/>
      <c r="S48" s="123"/>
      <c r="T48" s="123"/>
      <c r="U48" s="123"/>
      <c r="V48" s="123"/>
      <c r="W48" s="124"/>
      <c r="X48" s="124"/>
      <c r="Y48" s="124"/>
      <c r="Z48" s="124"/>
      <c r="AA48" s="124"/>
      <c r="AB48" s="124"/>
      <c r="AC48" s="124"/>
      <c r="AD48" s="124"/>
      <c r="AE48" s="124"/>
      <c r="AF48" s="124"/>
      <c r="AG48" s="124"/>
      <c r="AH48" s="124"/>
      <c r="AI48" s="124"/>
      <c r="AJ48" s="124"/>
      <c r="AK48" s="124"/>
      <c r="AL48" s="124"/>
      <c r="AM48" s="124"/>
      <c r="AN48" s="124"/>
      <c r="AO48" s="124"/>
      <c r="AP48" s="124"/>
    </row>
    <row r="49" spans="1:42" ht="49.95" customHeight="1" x14ac:dyDescent="0.3">
      <c r="A49" s="95" t="s">
        <v>31</v>
      </c>
      <c r="B49" s="4" t="s">
        <v>7</v>
      </c>
      <c r="C49" s="95" t="s">
        <v>775</v>
      </c>
      <c r="D49" s="4" t="s">
        <v>29</v>
      </c>
      <c r="E49" s="5" t="s">
        <v>277</v>
      </c>
      <c r="F49" s="4">
        <v>3</v>
      </c>
      <c r="G49" s="5" t="s">
        <v>631</v>
      </c>
      <c r="H49" s="3" t="s">
        <v>53</v>
      </c>
      <c r="I49" s="3" t="s">
        <v>72</v>
      </c>
      <c r="J49" s="96" t="s">
        <v>688</v>
      </c>
      <c r="K49" s="97" t="s">
        <v>302</v>
      </c>
      <c r="L49" s="90">
        <v>1285169</v>
      </c>
      <c r="M49" s="123"/>
      <c r="N49" s="123"/>
      <c r="O49" s="123"/>
      <c r="P49" s="123"/>
      <c r="Q49" s="123"/>
      <c r="R49" s="122"/>
      <c r="S49" s="122"/>
      <c r="T49" s="123"/>
      <c r="U49" s="123"/>
      <c r="V49" s="123"/>
      <c r="W49" s="124"/>
      <c r="X49" s="124"/>
      <c r="Y49" s="124"/>
      <c r="Z49" s="124"/>
      <c r="AA49" s="124"/>
      <c r="AB49" s="124"/>
      <c r="AC49" s="124"/>
      <c r="AD49" s="124"/>
      <c r="AE49" s="124"/>
      <c r="AF49" s="124"/>
      <c r="AG49" s="124"/>
      <c r="AH49" s="124"/>
      <c r="AI49" s="124"/>
      <c r="AJ49" s="124"/>
      <c r="AK49" s="124"/>
      <c r="AL49" s="124"/>
      <c r="AM49" s="124"/>
      <c r="AN49" s="124"/>
      <c r="AO49" s="124"/>
      <c r="AP49" s="124"/>
    </row>
    <row r="50" spans="1:42" ht="49.95" customHeight="1" x14ac:dyDescent="0.3">
      <c r="A50" s="95" t="s">
        <v>31</v>
      </c>
      <c r="B50" s="4" t="s">
        <v>7</v>
      </c>
      <c r="C50" s="95" t="s">
        <v>775</v>
      </c>
      <c r="D50" s="4" t="s">
        <v>30</v>
      </c>
      <c r="E50" s="5" t="s">
        <v>68</v>
      </c>
      <c r="F50" s="4">
        <v>1</v>
      </c>
      <c r="G50" s="5" t="s">
        <v>628</v>
      </c>
      <c r="H50" s="3" t="s">
        <v>55</v>
      </c>
      <c r="I50" s="3" t="s">
        <v>73</v>
      </c>
      <c r="J50" s="96" t="s">
        <v>300</v>
      </c>
      <c r="K50" s="97">
        <v>150</v>
      </c>
      <c r="L50" s="90">
        <f>K50*125</f>
        <v>18750</v>
      </c>
      <c r="M50" s="122"/>
      <c r="N50" s="123"/>
      <c r="O50" s="123"/>
      <c r="P50" s="123"/>
      <c r="Q50" s="123"/>
      <c r="R50" s="123"/>
      <c r="S50" s="123"/>
      <c r="T50" s="123"/>
      <c r="U50" s="123"/>
      <c r="V50" s="123"/>
      <c r="W50" s="124"/>
      <c r="X50" s="124"/>
      <c r="Y50" s="124"/>
      <c r="Z50" s="124"/>
      <c r="AA50" s="124"/>
      <c r="AB50" s="124"/>
      <c r="AC50" s="124"/>
      <c r="AD50" s="124"/>
      <c r="AE50" s="124"/>
      <c r="AF50" s="124"/>
      <c r="AG50" s="124"/>
      <c r="AH50" s="124"/>
      <c r="AI50" s="124"/>
      <c r="AJ50" s="124"/>
      <c r="AK50" s="124"/>
      <c r="AL50" s="124"/>
      <c r="AM50" s="124"/>
      <c r="AN50" s="124"/>
      <c r="AO50" s="124"/>
      <c r="AP50" s="124"/>
    </row>
    <row r="51" spans="1:42" ht="49.95" customHeight="1" x14ac:dyDescent="0.3">
      <c r="A51" s="95" t="s">
        <v>31</v>
      </c>
      <c r="B51" s="4" t="s">
        <v>7</v>
      </c>
      <c r="C51" s="95" t="s">
        <v>775</v>
      </c>
      <c r="D51" s="4" t="s">
        <v>30</v>
      </c>
      <c r="E51" s="5" t="s">
        <v>68</v>
      </c>
      <c r="F51" s="4">
        <v>2</v>
      </c>
      <c r="G51" s="5" t="s">
        <v>632</v>
      </c>
      <c r="H51" s="3" t="s">
        <v>55</v>
      </c>
      <c r="I51" s="3" t="s">
        <v>73</v>
      </c>
      <c r="J51" s="96" t="s">
        <v>686</v>
      </c>
      <c r="K51" s="97">
        <v>250</v>
      </c>
      <c r="L51" s="90">
        <f>K51*125</f>
        <v>31250</v>
      </c>
      <c r="M51" s="122"/>
      <c r="N51" s="123"/>
      <c r="O51" s="123"/>
      <c r="P51" s="123"/>
      <c r="Q51" s="123"/>
      <c r="R51" s="123"/>
      <c r="S51" s="123"/>
      <c r="T51" s="123"/>
      <c r="U51" s="123"/>
      <c r="V51" s="123"/>
      <c r="W51" s="124"/>
      <c r="X51" s="124"/>
      <c r="Y51" s="124"/>
      <c r="Z51" s="124"/>
      <c r="AA51" s="124"/>
      <c r="AB51" s="124"/>
      <c r="AC51" s="124"/>
      <c r="AD51" s="124"/>
      <c r="AE51" s="124"/>
      <c r="AF51" s="124"/>
      <c r="AG51" s="124"/>
      <c r="AH51" s="124"/>
      <c r="AI51" s="124"/>
      <c r="AJ51" s="124"/>
      <c r="AK51" s="124"/>
      <c r="AL51" s="124"/>
      <c r="AM51" s="124"/>
      <c r="AN51" s="124"/>
      <c r="AO51" s="124"/>
      <c r="AP51" s="124"/>
    </row>
    <row r="52" spans="1:42" ht="49.95" customHeight="1" x14ac:dyDescent="0.3">
      <c r="A52" s="95" t="s">
        <v>31</v>
      </c>
      <c r="B52" s="4" t="s">
        <v>7</v>
      </c>
      <c r="C52" s="95" t="s">
        <v>775</v>
      </c>
      <c r="D52" s="4" t="s">
        <v>30</v>
      </c>
      <c r="E52" s="5" t="s">
        <v>68</v>
      </c>
      <c r="F52" s="4">
        <v>3</v>
      </c>
      <c r="G52" s="5" t="s">
        <v>734</v>
      </c>
      <c r="H52" s="3" t="s">
        <v>55</v>
      </c>
      <c r="I52" s="3" t="s">
        <v>72</v>
      </c>
      <c r="J52" s="96" t="s">
        <v>689</v>
      </c>
      <c r="K52" s="97" t="s">
        <v>302</v>
      </c>
      <c r="L52" s="90">
        <v>3107460</v>
      </c>
      <c r="M52" s="123"/>
      <c r="N52" s="122"/>
      <c r="O52" s="123"/>
      <c r="P52" s="123"/>
      <c r="Q52" s="123"/>
      <c r="R52" s="123"/>
      <c r="S52" s="123"/>
      <c r="T52" s="123"/>
      <c r="U52" s="123"/>
      <c r="V52" s="123"/>
      <c r="W52" s="124"/>
      <c r="X52" s="124"/>
      <c r="Y52" s="124"/>
      <c r="Z52" s="124"/>
      <c r="AA52" s="124"/>
      <c r="AB52" s="124"/>
      <c r="AC52" s="124"/>
      <c r="AD52" s="124"/>
      <c r="AE52" s="124"/>
      <c r="AF52" s="124"/>
      <c r="AG52" s="124"/>
      <c r="AH52" s="124"/>
      <c r="AI52" s="124"/>
      <c r="AJ52" s="124"/>
      <c r="AK52" s="124"/>
      <c r="AL52" s="124"/>
      <c r="AM52" s="124"/>
      <c r="AN52" s="124"/>
      <c r="AO52" s="124"/>
      <c r="AP52" s="124"/>
    </row>
    <row r="53" spans="1:42" ht="49.95" customHeight="1" x14ac:dyDescent="0.3">
      <c r="A53" s="95" t="s">
        <v>31</v>
      </c>
      <c r="B53" s="4" t="s">
        <v>7</v>
      </c>
      <c r="C53" s="95" t="s">
        <v>775</v>
      </c>
      <c r="D53" s="4" t="s">
        <v>30</v>
      </c>
      <c r="E53" s="5" t="s">
        <v>68</v>
      </c>
      <c r="F53" s="4">
        <v>4</v>
      </c>
      <c r="G53" s="5" t="s">
        <v>735</v>
      </c>
      <c r="H53" s="3" t="s">
        <v>55</v>
      </c>
      <c r="I53" s="3" t="s">
        <v>73</v>
      </c>
      <c r="J53" s="96" t="s">
        <v>302</v>
      </c>
      <c r="K53" s="97" t="s">
        <v>302</v>
      </c>
      <c r="L53" s="90" t="s">
        <v>302</v>
      </c>
      <c r="M53" s="123"/>
      <c r="N53" s="123"/>
      <c r="O53" s="122"/>
      <c r="P53" s="122"/>
      <c r="Q53" s="122"/>
      <c r="R53" s="122"/>
      <c r="S53" s="122"/>
      <c r="T53" s="122"/>
      <c r="U53" s="122"/>
      <c r="V53" s="122"/>
      <c r="W53" s="125"/>
      <c r="X53" s="125"/>
      <c r="Y53" s="125"/>
      <c r="Z53" s="125"/>
      <c r="AA53" s="125"/>
      <c r="AB53" s="125"/>
      <c r="AC53" s="125"/>
      <c r="AD53" s="125"/>
      <c r="AE53" s="125"/>
      <c r="AF53" s="125"/>
      <c r="AG53" s="125"/>
      <c r="AH53" s="125"/>
      <c r="AI53" s="125"/>
      <c r="AJ53" s="125"/>
      <c r="AK53" s="125"/>
      <c r="AL53" s="125"/>
      <c r="AM53" s="125"/>
      <c r="AN53" s="125"/>
      <c r="AO53" s="125"/>
      <c r="AP53" s="125"/>
    </row>
    <row r="54" spans="1:42" ht="49.95" customHeight="1" x14ac:dyDescent="0.3">
      <c r="A54" s="95" t="s">
        <v>31</v>
      </c>
      <c r="B54" s="4" t="s">
        <v>7</v>
      </c>
      <c r="C54" s="95" t="s">
        <v>775</v>
      </c>
      <c r="D54" s="4" t="s">
        <v>35</v>
      </c>
      <c r="E54" s="5" t="s">
        <v>278</v>
      </c>
      <c r="F54" s="4">
        <v>1</v>
      </c>
      <c r="G54" s="5" t="s">
        <v>636</v>
      </c>
      <c r="H54" s="3" t="s">
        <v>55</v>
      </c>
      <c r="I54" s="3" t="s">
        <v>74</v>
      </c>
      <c r="J54" s="96" t="s">
        <v>860</v>
      </c>
      <c r="K54" s="97" t="s">
        <v>302</v>
      </c>
      <c r="L54" s="91">
        <v>1310000000</v>
      </c>
      <c r="M54" s="122"/>
      <c r="N54" s="122"/>
      <c r="O54" s="123"/>
      <c r="P54" s="123"/>
      <c r="Q54" s="123"/>
      <c r="R54" s="123"/>
      <c r="S54" s="123"/>
      <c r="T54" s="123"/>
      <c r="U54" s="123"/>
      <c r="V54" s="123"/>
      <c r="W54" s="124"/>
      <c r="X54" s="124"/>
      <c r="Y54" s="124"/>
      <c r="Z54" s="124"/>
      <c r="AA54" s="124"/>
      <c r="AB54" s="124"/>
      <c r="AC54" s="124"/>
      <c r="AD54" s="124"/>
      <c r="AE54" s="124"/>
      <c r="AF54" s="124"/>
      <c r="AG54" s="124"/>
      <c r="AH54" s="124"/>
      <c r="AI54" s="124"/>
      <c r="AJ54" s="124"/>
      <c r="AK54" s="124"/>
      <c r="AL54" s="124"/>
      <c r="AM54" s="124"/>
      <c r="AN54" s="124"/>
      <c r="AO54" s="124"/>
      <c r="AP54" s="124"/>
    </row>
    <row r="55" spans="1:42" ht="49.95" customHeight="1" x14ac:dyDescent="0.3">
      <c r="A55" s="95" t="s">
        <v>31</v>
      </c>
      <c r="B55" s="4" t="s">
        <v>7</v>
      </c>
      <c r="C55" s="95" t="s">
        <v>775</v>
      </c>
      <c r="D55" s="4" t="s">
        <v>35</v>
      </c>
      <c r="E55" s="5" t="s">
        <v>278</v>
      </c>
      <c r="F55" s="4">
        <v>2</v>
      </c>
      <c r="G55" s="5" t="s">
        <v>637</v>
      </c>
      <c r="H55" s="3" t="s">
        <v>55</v>
      </c>
      <c r="I55" s="3" t="s">
        <v>72</v>
      </c>
      <c r="J55" s="96" t="s">
        <v>859</v>
      </c>
      <c r="K55" s="97" t="s">
        <v>302</v>
      </c>
      <c r="L55" s="91">
        <f>0.3*'Ação 3.1.4'!B41</f>
        <v>10930540.77</v>
      </c>
      <c r="M55" s="122"/>
      <c r="N55" s="122"/>
      <c r="O55" s="123"/>
      <c r="P55" s="123"/>
      <c r="Q55" s="123"/>
      <c r="R55" s="123"/>
      <c r="S55" s="123"/>
      <c r="T55" s="123"/>
      <c r="U55" s="123"/>
      <c r="V55" s="123"/>
      <c r="W55" s="124"/>
      <c r="X55" s="124"/>
      <c r="Y55" s="124"/>
      <c r="Z55" s="124"/>
      <c r="AA55" s="124"/>
      <c r="AB55" s="124"/>
      <c r="AC55" s="124"/>
      <c r="AD55" s="124"/>
      <c r="AE55" s="124"/>
      <c r="AF55" s="124"/>
      <c r="AG55" s="124"/>
      <c r="AH55" s="124"/>
      <c r="AI55" s="124"/>
      <c r="AJ55" s="124"/>
      <c r="AK55" s="124"/>
      <c r="AL55" s="124"/>
      <c r="AM55" s="124"/>
      <c r="AN55" s="124"/>
      <c r="AO55" s="124"/>
      <c r="AP55" s="124"/>
    </row>
    <row r="56" spans="1:42" ht="49.95" customHeight="1" x14ac:dyDescent="0.3">
      <c r="A56" s="95" t="s">
        <v>31</v>
      </c>
      <c r="B56" s="4" t="s">
        <v>7</v>
      </c>
      <c r="C56" s="95" t="s">
        <v>775</v>
      </c>
      <c r="D56" s="4" t="s">
        <v>35</v>
      </c>
      <c r="E56" s="5" t="s">
        <v>278</v>
      </c>
      <c r="F56" s="4">
        <v>3</v>
      </c>
      <c r="G56" s="5" t="s">
        <v>638</v>
      </c>
      <c r="H56" s="3" t="s">
        <v>55</v>
      </c>
      <c r="I56" s="3" t="s">
        <v>72</v>
      </c>
      <c r="J56" s="96" t="s">
        <v>858</v>
      </c>
      <c r="K56" s="97" t="s">
        <v>302</v>
      </c>
      <c r="L56" s="91">
        <f>0.7*'Ação 3.1.4'!B41</f>
        <v>25504595.129999999</v>
      </c>
      <c r="M56" s="123"/>
      <c r="N56" s="123"/>
      <c r="O56" s="122"/>
      <c r="P56" s="122"/>
      <c r="Q56" s="122"/>
      <c r="R56" s="123"/>
      <c r="S56" s="123"/>
      <c r="T56" s="123"/>
      <c r="U56" s="123"/>
      <c r="V56" s="123"/>
      <c r="W56" s="124"/>
      <c r="X56" s="124"/>
      <c r="Y56" s="124"/>
      <c r="Z56" s="124"/>
      <c r="AA56" s="124"/>
      <c r="AB56" s="124"/>
      <c r="AC56" s="124"/>
      <c r="AD56" s="124"/>
      <c r="AE56" s="124"/>
      <c r="AF56" s="124"/>
      <c r="AG56" s="124"/>
      <c r="AH56" s="124"/>
      <c r="AI56" s="124"/>
      <c r="AJ56" s="124"/>
      <c r="AK56" s="124"/>
      <c r="AL56" s="124"/>
      <c r="AM56" s="124"/>
      <c r="AN56" s="124"/>
      <c r="AO56" s="124"/>
      <c r="AP56" s="124"/>
    </row>
    <row r="57" spans="1:42" ht="49.95" customHeight="1" x14ac:dyDescent="0.3">
      <c r="A57" s="95" t="s">
        <v>31</v>
      </c>
      <c r="B57" s="4" t="s">
        <v>7</v>
      </c>
      <c r="C57" s="95" t="s">
        <v>775</v>
      </c>
      <c r="D57" s="4" t="s">
        <v>35</v>
      </c>
      <c r="E57" s="5" t="s">
        <v>278</v>
      </c>
      <c r="F57" s="4">
        <v>4</v>
      </c>
      <c r="G57" s="5" t="s">
        <v>639</v>
      </c>
      <c r="H57" s="3" t="s">
        <v>55</v>
      </c>
      <c r="I57" s="3" t="s">
        <v>74</v>
      </c>
      <c r="J57" s="96" t="s">
        <v>857</v>
      </c>
      <c r="K57" s="97" t="s">
        <v>302</v>
      </c>
      <c r="L57" s="91">
        <f>'Ação 3.1.4'!B40</f>
        <v>327916223.10000002</v>
      </c>
      <c r="M57" s="123"/>
      <c r="N57" s="123"/>
      <c r="O57" s="123"/>
      <c r="P57" s="123"/>
      <c r="Q57" s="123"/>
      <c r="R57" s="122"/>
      <c r="S57" s="122"/>
      <c r="T57" s="122"/>
      <c r="U57" s="122"/>
      <c r="V57" s="122"/>
      <c r="W57" s="124"/>
      <c r="X57" s="124"/>
      <c r="Y57" s="124"/>
      <c r="Z57" s="124"/>
      <c r="AA57" s="124"/>
      <c r="AB57" s="124"/>
      <c r="AC57" s="124"/>
      <c r="AD57" s="124"/>
      <c r="AE57" s="124"/>
      <c r="AF57" s="124"/>
      <c r="AG57" s="124"/>
      <c r="AH57" s="124"/>
      <c r="AI57" s="124"/>
      <c r="AJ57" s="124"/>
      <c r="AK57" s="124"/>
      <c r="AL57" s="124"/>
      <c r="AM57" s="124"/>
      <c r="AN57" s="124"/>
      <c r="AO57" s="124"/>
      <c r="AP57" s="124"/>
    </row>
    <row r="58" spans="1:42" ht="49.95" customHeight="1" x14ac:dyDescent="0.3">
      <c r="A58" s="95" t="s">
        <v>31</v>
      </c>
      <c r="B58" s="4" t="s">
        <v>8</v>
      </c>
      <c r="C58" s="95" t="s">
        <v>69</v>
      </c>
      <c r="D58" s="4" t="s">
        <v>32</v>
      </c>
      <c r="E58" s="5" t="s">
        <v>279</v>
      </c>
      <c r="F58" s="4">
        <v>1</v>
      </c>
      <c r="G58" s="5" t="s">
        <v>640</v>
      </c>
      <c r="H58" s="3" t="s">
        <v>55</v>
      </c>
      <c r="I58" s="3" t="s">
        <v>73</v>
      </c>
      <c r="J58" s="96" t="s">
        <v>709</v>
      </c>
      <c r="K58" s="97" t="s">
        <v>302</v>
      </c>
      <c r="L58" s="90">
        <f>0.5*7597364</f>
        <v>3798682</v>
      </c>
      <c r="M58" s="122"/>
      <c r="N58" s="123"/>
      <c r="O58" s="123"/>
      <c r="P58" s="123"/>
      <c r="Q58" s="123"/>
      <c r="R58" s="123"/>
      <c r="S58" s="123"/>
      <c r="T58" s="123"/>
      <c r="U58" s="123"/>
      <c r="V58" s="123"/>
      <c r="W58" s="124"/>
      <c r="X58" s="124"/>
      <c r="Y58" s="124"/>
      <c r="Z58" s="124"/>
      <c r="AA58" s="124"/>
      <c r="AB58" s="124"/>
      <c r="AC58" s="124"/>
      <c r="AD58" s="124"/>
      <c r="AE58" s="124"/>
      <c r="AF58" s="124"/>
      <c r="AG58" s="124"/>
      <c r="AH58" s="124"/>
      <c r="AI58" s="124"/>
      <c r="AJ58" s="124"/>
      <c r="AK58" s="124"/>
      <c r="AL58" s="124"/>
      <c r="AM58" s="124"/>
      <c r="AN58" s="124"/>
      <c r="AO58" s="124"/>
      <c r="AP58" s="124"/>
    </row>
    <row r="59" spans="1:42" ht="49.95" customHeight="1" x14ac:dyDescent="0.3">
      <c r="A59" s="95" t="s">
        <v>31</v>
      </c>
      <c r="B59" s="4" t="s">
        <v>8</v>
      </c>
      <c r="C59" s="95" t="s">
        <v>69</v>
      </c>
      <c r="D59" s="4" t="s">
        <v>32</v>
      </c>
      <c r="E59" s="5" t="s">
        <v>279</v>
      </c>
      <c r="F59" s="4">
        <v>2</v>
      </c>
      <c r="G59" s="5" t="s">
        <v>641</v>
      </c>
      <c r="H59" s="3" t="s">
        <v>55</v>
      </c>
      <c r="I59" s="3" t="s">
        <v>73</v>
      </c>
      <c r="J59" s="96" t="s">
        <v>709</v>
      </c>
      <c r="K59" s="97" t="s">
        <v>302</v>
      </c>
      <c r="L59" s="90">
        <f>0.5*7597364</f>
        <v>3798682</v>
      </c>
      <c r="M59" s="123"/>
      <c r="N59" s="122"/>
      <c r="O59" s="122"/>
      <c r="P59" s="126"/>
      <c r="Q59" s="123"/>
      <c r="R59" s="123"/>
      <c r="S59" s="123"/>
      <c r="T59" s="123"/>
      <c r="U59" s="123"/>
      <c r="V59" s="123"/>
      <c r="W59" s="124"/>
      <c r="X59" s="124"/>
      <c r="Y59" s="124"/>
      <c r="Z59" s="124"/>
      <c r="AA59" s="124"/>
      <c r="AB59" s="124"/>
      <c r="AC59" s="124"/>
      <c r="AD59" s="124"/>
      <c r="AE59" s="124"/>
      <c r="AF59" s="124"/>
      <c r="AG59" s="124"/>
      <c r="AH59" s="124"/>
      <c r="AI59" s="124"/>
      <c r="AJ59" s="124"/>
      <c r="AK59" s="124"/>
      <c r="AL59" s="124"/>
      <c r="AM59" s="124"/>
      <c r="AN59" s="124"/>
      <c r="AO59" s="124"/>
      <c r="AP59" s="124"/>
    </row>
    <row r="60" spans="1:42" ht="49.95" customHeight="1" x14ac:dyDescent="0.3">
      <c r="A60" s="95" t="s">
        <v>31</v>
      </c>
      <c r="B60" s="4" t="s">
        <v>8</v>
      </c>
      <c r="C60" s="95" t="s">
        <v>69</v>
      </c>
      <c r="D60" s="4" t="s">
        <v>33</v>
      </c>
      <c r="E60" s="5" t="s">
        <v>280</v>
      </c>
      <c r="F60" s="4">
        <v>1</v>
      </c>
      <c r="G60" s="5" t="s">
        <v>642</v>
      </c>
      <c r="H60" s="3" t="s">
        <v>690</v>
      </c>
      <c r="I60" s="3" t="s">
        <v>72</v>
      </c>
      <c r="J60" s="96" t="s">
        <v>711</v>
      </c>
      <c r="K60" s="97" t="s">
        <v>302</v>
      </c>
      <c r="L60" s="90">
        <f>0.04*379868189</f>
        <v>15194727.560000001</v>
      </c>
      <c r="M60" s="126"/>
      <c r="N60" s="123"/>
      <c r="O60" s="123"/>
      <c r="P60" s="123"/>
      <c r="Q60" s="123"/>
      <c r="R60" s="123"/>
      <c r="S60" s="123"/>
      <c r="T60" s="123"/>
      <c r="U60" s="123"/>
      <c r="V60" s="123"/>
      <c r="W60" s="124"/>
      <c r="X60" s="124"/>
      <c r="Y60" s="124"/>
      <c r="Z60" s="124"/>
      <c r="AA60" s="124"/>
      <c r="AB60" s="124"/>
      <c r="AC60" s="124"/>
      <c r="AD60" s="124"/>
      <c r="AE60" s="124"/>
      <c r="AF60" s="124"/>
      <c r="AG60" s="124"/>
      <c r="AH60" s="124"/>
      <c r="AI60" s="124"/>
      <c r="AJ60" s="124"/>
      <c r="AK60" s="124"/>
      <c r="AL60" s="124"/>
      <c r="AM60" s="124"/>
      <c r="AN60" s="124"/>
      <c r="AO60" s="124"/>
      <c r="AP60" s="124"/>
    </row>
    <row r="61" spans="1:42" ht="49.95" customHeight="1" x14ac:dyDescent="0.3">
      <c r="A61" s="95" t="s">
        <v>31</v>
      </c>
      <c r="B61" s="4" t="s">
        <v>8</v>
      </c>
      <c r="C61" s="95" t="s">
        <v>69</v>
      </c>
      <c r="D61" s="4" t="s">
        <v>33</v>
      </c>
      <c r="E61" s="5" t="s">
        <v>280</v>
      </c>
      <c r="F61" s="4">
        <v>2</v>
      </c>
      <c r="G61" s="5" t="s">
        <v>643</v>
      </c>
      <c r="H61" s="3" t="s">
        <v>55</v>
      </c>
      <c r="I61" s="3" t="s">
        <v>73</v>
      </c>
      <c r="J61" s="96" t="s">
        <v>710</v>
      </c>
      <c r="K61" s="97" t="s">
        <v>302</v>
      </c>
      <c r="L61" s="90">
        <f>0.01*379868189</f>
        <v>3798681.89</v>
      </c>
      <c r="M61" s="126"/>
      <c r="N61" s="123"/>
      <c r="O61" s="123"/>
      <c r="P61" s="123"/>
      <c r="Q61" s="123"/>
      <c r="R61" s="123"/>
      <c r="S61" s="123"/>
      <c r="T61" s="123"/>
      <c r="U61" s="123"/>
      <c r="V61" s="123"/>
      <c r="W61" s="124"/>
      <c r="X61" s="124"/>
      <c r="Y61" s="124"/>
      <c r="Z61" s="124"/>
      <c r="AA61" s="124"/>
      <c r="AB61" s="124"/>
      <c r="AC61" s="124"/>
      <c r="AD61" s="124"/>
      <c r="AE61" s="124"/>
      <c r="AF61" s="124"/>
      <c r="AG61" s="124"/>
      <c r="AH61" s="124"/>
      <c r="AI61" s="124"/>
      <c r="AJ61" s="124"/>
      <c r="AK61" s="124"/>
      <c r="AL61" s="124"/>
      <c r="AM61" s="124"/>
      <c r="AN61" s="124"/>
      <c r="AO61" s="124"/>
      <c r="AP61" s="124"/>
    </row>
    <row r="62" spans="1:42" ht="49.95" customHeight="1" x14ac:dyDescent="0.3">
      <c r="A62" s="95" t="s">
        <v>31</v>
      </c>
      <c r="B62" s="4" t="s">
        <v>8</v>
      </c>
      <c r="C62" s="95" t="s">
        <v>69</v>
      </c>
      <c r="D62" s="4" t="s">
        <v>33</v>
      </c>
      <c r="E62" s="5" t="s">
        <v>280</v>
      </c>
      <c r="F62" s="4">
        <v>3</v>
      </c>
      <c r="G62" s="5" t="s">
        <v>644</v>
      </c>
      <c r="H62" s="3" t="s">
        <v>690</v>
      </c>
      <c r="I62" s="3" t="s">
        <v>74</v>
      </c>
      <c r="J62" s="96" t="s">
        <v>712</v>
      </c>
      <c r="K62" s="97" t="s">
        <v>302</v>
      </c>
      <c r="L62" s="90">
        <f>0.95*379868189</f>
        <v>360874779.55000001</v>
      </c>
      <c r="M62" s="123"/>
      <c r="N62" s="126"/>
      <c r="O62" s="126"/>
      <c r="P62" s="122"/>
      <c r="Q62" s="122"/>
      <c r="R62" s="122"/>
      <c r="S62" s="122"/>
      <c r="T62" s="122"/>
      <c r="U62" s="122"/>
      <c r="V62" s="122"/>
      <c r="W62" s="124"/>
      <c r="X62" s="124"/>
      <c r="Y62" s="124"/>
      <c r="Z62" s="124"/>
      <c r="AA62" s="124"/>
      <c r="AB62" s="124"/>
      <c r="AC62" s="124"/>
      <c r="AD62" s="124"/>
      <c r="AE62" s="124"/>
      <c r="AF62" s="124"/>
      <c r="AG62" s="124"/>
      <c r="AH62" s="124"/>
      <c r="AI62" s="124"/>
      <c r="AJ62" s="124"/>
      <c r="AK62" s="124"/>
      <c r="AL62" s="124"/>
      <c r="AM62" s="124"/>
      <c r="AN62" s="124"/>
      <c r="AO62" s="124"/>
      <c r="AP62" s="124"/>
    </row>
    <row r="63" spans="1:42" ht="49.95" customHeight="1" x14ac:dyDescent="0.3">
      <c r="A63" s="95" t="s">
        <v>31</v>
      </c>
      <c r="B63" s="4" t="s">
        <v>9</v>
      </c>
      <c r="C63" s="95" t="s">
        <v>71</v>
      </c>
      <c r="D63" s="4" t="s">
        <v>36</v>
      </c>
      <c r="E63" s="5" t="s">
        <v>281</v>
      </c>
      <c r="F63" s="4">
        <v>1</v>
      </c>
      <c r="G63" s="5" t="s">
        <v>645</v>
      </c>
      <c r="H63" s="3" t="s">
        <v>55</v>
      </c>
      <c r="I63" s="3" t="s">
        <v>73</v>
      </c>
      <c r="J63" s="96" t="s">
        <v>300</v>
      </c>
      <c r="K63" s="97">
        <v>150</v>
      </c>
      <c r="L63" s="90">
        <f>K63*125</f>
        <v>18750</v>
      </c>
      <c r="M63" s="122"/>
      <c r="N63" s="123"/>
      <c r="O63" s="123"/>
      <c r="P63" s="123"/>
      <c r="Q63" s="123"/>
      <c r="R63" s="123"/>
      <c r="S63" s="123"/>
      <c r="T63" s="123"/>
      <c r="U63" s="123"/>
      <c r="V63" s="123"/>
      <c r="W63" s="124"/>
      <c r="X63" s="124"/>
      <c r="Y63" s="124"/>
      <c r="Z63" s="124"/>
      <c r="AA63" s="124"/>
      <c r="AB63" s="124"/>
      <c r="AC63" s="124"/>
      <c r="AD63" s="124"/>
      <c r="AE63" s="124"/>
      <c r="AF63" s="124"/>
      <c r="AG63" s="124"/>
      <c r="AH63" s="124"/>
      <c r="AI63" s="124"/>
      <c r="AJ63" s="124"/>
      <c r="AK63" s="124"/>
      <c r="AL63" s="124"/>
      <c r="AM63" s="124"/>
      <c r="AN63" s="124"/>
      <c r="AO63" s="124"/>
      <c r="AP63" s="124"/>
    </row>
    <row r="64" spans="1:42" ht="49.95" customHeight="1" x14ac:dyDescent="0.3">
      <c r="A64" s="95" t="s">
        <v>31</v>
      </c>
      <c r="B64" s="4" t="s">
        <v>9</v>
      </c>
      <c r="C64" s="95" t="s">
        <v>71</v>
      </c>
      <c r="D64" s="4" t="s">
        <v>36</v>
      </c>
      <c r="E64" s="5" t="s">
        <v>281</v>
      </c>
      <c r="F64" s="4">
        <v>2</v>
      </c>
      <c r="G64" s="5" t="s">
        <v>629</v>
      </c>
      <c r="H64" s="3" t="s">
        <v>55</v>
      </c>
      <c r="I64" s="3" t="s">
        <v>73</v>
      </c>
      <c r="J64" s="96" t="s">
        <v>686</v>
      </c>
      <c r="K64" s="97">
        <v>250</v>
      </c>
      <c r="L64" s="90">
        <f>K64*125</f>
        <v>31250</v>
      </c>
      <c r="M64" s="122"/>
      <c r="N64" s="123"/>
      <c r="O64" s="123"/>
      <c r="P64" s="123"/>
      <c r="Q64" s="123"/>
      <c r="R64" s="123"/>
      <c r="S64" s="123"/>
      <c r="T64" s="123"/>
      <c r="U64" s="123"/>
      <c r="V64" s="123"/>
      <c r="W64" s="124"/>
      <c r="X64" s="124"/>
      <c r="Y64" s="124"/>
      <c r="Z64" s="124"/>
      <c r="AA64" s="124"/>
      <c r="AB64" s="124"/>
      <c r="AC64" s="124"/>
      <c r="AD64" s="124"/>
      <c r="AE64" s="124"/>
      <c r="AF64" s="124"/>
      <c r="AG64" s="124"/>
      <c r="AH64" s="124"/>
      <c r="AI64" s="124"/>
      <c r="AJ64" s="124"/>
      <c r="AK64" s="124"/>
      <c r="AL64" s="124"/>
      <c r="AM64" s="124"/>
      <c r="AN64" s="124"/>
      <c r="AO64" s="124"/>
      <c r="AP64" s="124"/>
    </row>
    <row r="65" spans="1:42" ht="49.95" customHeight="1" x14ac:dyDescent="0.3">
      <c r="A65" s="95" t="s">
        <v>31</v>
      </c>
      <c r="B65" s="4" t="s">
        <v>9</v>
      </c>
      <c r="C65" s="95" t="s">
        <v>71</v>
      </c>
      <c r="D65" s="4" t="s">
        <v>36</v>
      </c>
      <c r="E65" s="5" t="s">
        <v>281</v>
      </c>
      <c r="F65" s="4">
        <v>3</v>
      </c>
      <c r="G65" s="5" t="s">
        <v>693</v>
      </c>
      <c r="H65" s="3" t="s">
        <v>55</v>
      </c>
      <c r="I65" s="3" t="s">
        <v>72</v>
      </c>
      <c r="J65" s="96" t="s">
        <v>694</v>
      </c>
      <c r="K65" s="97" t="s">
        <v>302</v>
      </c>
      <c r="L65" s="90">
        <f>11*500000</f>
        <v>5500000</v>
      </c>
      <c r="M65" s="123"/>
      <c r="N65" s="122"/>
      <c r="O65" s="122"/>
      <c r="P65" s="123"/>
      <c r="Q65" s="123"/>
      <c r="R65" s="123"/>
      <c r="S65" s="123"/>
      <c r="T65" s="123"/>
      <c r="U65" s="123"/>
      <c r="V65" s="123"/>
      <c r="W65" s="124"/>
      <c r="X65" s="124"/>
      <c r="Y65" s="124"/>
      <c r="Z65" s="124"/>
      <c r="AA65" s="124"/>
      <c r="AB65" s="124"/>
      <c r="AC65" s="124"/>
      <c r="AD65" s="124"/>
      <c r="AE65" s="124"/>
      <c r="AF65" s="124"/>
      <c r="AG65" s="124"/>
      <c r="AH65" s="124"/>
      <c r="AI65" s="124"/>
      <c r="AJ65" s="124"/>
      <c r="AK65" s="124"/>
      <c r="AL65" s="124"/>
      <c r="AM65" s="124"/>
      <c r="AN65" s="124"/>
      <c r="AO65" s="124"/>
      <c r="AP65" s="124"/>
    </row>
    <row r="66" spans="1:42" ht="49.95" customHeight="1" x14ac:dyDescent="0.3">
      <c r="A66" s="95" t="s">
        <v>31</v>
      </c>
      <c r="B66" s="4" t="s">
        <v>9</v>
      </c>
      <c r="C66" s="95" t="s">
        <v>71</v>
      </c>
      <c r="D66" s="4" t="s">
        <v>36</v>
      </c>
      <c r="E66" s="5" t="s">
        <v>281</v>
      </c>
      <c r="F66" s="4">
        <v>4</v>
      </c>
      <c r="G66" s="5" t="s">
        <v>656</v>
      </c>
      <c r="H66" s="3" t="s">
        <v>695</v>
      </c>
      <c r="I66" s="3" t="s">
        <v>73</v>
      </c>
      <c r="J66" s="96" t="s">
        <v>302</v>
      </c>
      <c r="K66" s="97" t="s">
        <v>302</v>
      </c>
      <c r="L66" s="90" t="s">
        <v>302</v>
      </c>
      <c r="M66" s="123"/>
      <c r="N66" s="123"/>
      <c r="O66" s="123"/>
      <c r="P66" s="122"/>
      <c r="Q66" s="126"/>
      <c r="R66" s="126"/>
      <c r="S66" s="126"/>
      <c r="T66" s="126"/>
      <c r="U66" s="126"/>
      <c r="V66" s="126"/>
      <c r="W66" s="127"/>
      <c r="X66" s="127"/>
      <c r="Y66" s="127"/>
      <c r="Z66" s="127"/>
      <c r="AA66" s="127"/>
      <c r="AB66" s="127"/>
      <c r="AC66" s="127"/>
      <c r="AD66" s="127"/>
      <c r="AE66" s="127"/>
      <c r="AF66" s="127"/>
      <c r="AG66" s="127"/>
      <c r="AH66" s="127"/>
      <c r="AI66" s="127"/>
      <c r="AJ66" s="127"/>
      <c r="AK66" s="127"/>
      <c r="AL66" s="127"/>
      <c r="AM66" s="127"/>
      <c r="AN66" s="127"/>
      <c r="AO66" s="127"/>
      <c r="AP66" s="127"/>
    </row>
    <row r="67" spans="1:42" ht="49.95" customHeight="1" x14ac:dyDescent="0.3">
      <c r="A67" s="95" t="s">
        <v>31</v>
      </c>
      <c r="B67" s="4" t="s">
        <v>9</v>
      </c>
      <c r="C67" s="95" t="s">
        <v>71</v>
      </c>
      <c r="D67" s="4" t="s">
        <v>37</v>
      </c>
      <c r="E67" s="5" t="s">
        <v>56</v>
      </c>
      <c r="F67" s="4">
        <v>1</v>
      </c>
      <c r="G67" s="5" t="s">
        <v>676</v>
      </c>
      <c r="H67" s="3" t="s">
        <v>55</v>
      </c>
      <c r="I67" s="3" t="s">
        <v>74</v>
      </c>
      <c r="J67" s="96" t="s">
        <v>904</v>
      </c>
      <c r="K67" s="97" t="s">
        <v>302</v>
      </c>
      <c r="L67" s="90">
        <v>391000000</v>
      </c>
      <c r="M67" s="122"/>
      <c r="N67" s="122"/>
      <c r="O67" s="123"/>
      <c r="P67" s="123"/>
      <c r="Q67" s="123"/>
      <c r="R67" s="123"/>
      <c r="S67" s="123"/>
      <c r="T67" s="123"/>
      <c r="U67" s="123"/>
      <c r="V67" s="123"/>
      <c r="W67" s="124"/>
      <c r="X67" s="124"/>
      <c r="Y67" s="124"/>
      <c r="Z67" s="124"/>
      <c r="AA67" s="124"/>
      <c r="AB67" s="124"/>
      <c r="AC67" s="124"/>
      <c r="AD67" s="124"/>
      <c r="AE67" s="124"/>
      <c r="AF67" s="124"/>
      <c r="AG67" s="124"/>
      <c r="AH67" s="124"/>
      <c r="AI67" s="124"/>
      <c r="AJ67" s="124"/>
      <c r="AK67" s="124"/>
      <c r="AL67" s="124"/>
      <c r="AM67" s="124"/>
      <c r="AN67" s="124"/>
      <c r="AO67" s="124"/>
      <c r="AP67" s="124"/>
    </row>
    <row r="68" spans="1:42" ht="49.95" customHeight="1" x14ac:dyDescent="0.3">
      <c r="A68" s="95" t="s">
        <v>31</v>
      </c>
      <c r="B68" s="4" t="s">
        <v>9</v>
      </c>
      <c r="C68" s="95" t="s">
        <v>71</v>
      </c>
      <c r="D68" s="4" t="s">
        <v>37</v>
      </c>
      <c r="E68" s="5" t="s">
        <v>56</v>
      </c>
      <c r="F68" s="4">
        <v>2</v>
      </c>
      <c r="G68" s="5" t="s">
        <v>637</v>
      </c>
      <c r="H68" s="3" t="s">
        <v>55</v>
      </c>
      <c r="I68" s="3" t="s">
        <v>72</v>
      </c>
      <c r="J68" s="96" t="s">
        <v>905</v>
      </c>
      <c r="K68" s="97" t="s">
        <v>302</v>
      </c>
      <c r="L68" s="90">
        <f>0.3*89292756</f>
        <v>26787826.800000001</v>
      </c>
      <c r="M68" s="122"/>
      <c r="N68" s="122"/>
      <c r="O68" s="123"/>
      <c r="P68" s="123"/>
      <c r="Q68" s="123"/>
      <c r="R68" s="123"/>
      <c r="S68" s="123"/>
      <c r="T68" s="123"/>
      <c r="U68" s="123"/>
      <c r="V68" s="123"/>
      <c r="W68" s="124"/>
      <c r="X68" s="124"/>
      <c r="Y68" s="124"/>
      <c r="Z68" s="124"/>
      <c r="AA68" s="124"/>
      <c r="AB68" s="124"/>
      <c r="AC68" s="124"/>
      <c r="AD68" s="124"/>
      <c r="AE68" s="124"/>
      <c r="AF68" s="124"/>
      <c r="AG68" s="124"/>
      <c r="AH68" s="124"/>
      <c r="AI68" s="124"/>
      <c r="AJ68" s="124"/>
      <c r="AK68" s="124"/>
      <c r="AL68" s="124"/>
      <c r="AM68" s="124"/>
      <c r="AN68" s="124"/>
      <c r="AO68" s="124"/>
      <c r="AP68" s="124"/>
    </row>
    <row r="69" spans="1:42" ht="49.95" customHeight="1" x14ac:dyDescent="0.3">
      <c r="A69" s="95" t="s">
        <v>31</v>
      </c>
      <c r="B69" s="4" t="s">
        <v>9</v>
      </c>
      <c r="C69" s="95" t="s">
        <v>71</v>
      </c>
      <c r="D69" s="4" t="s">
        <v>37</v>
      </c>
      <c r="E69" s="5" t="s">
        <v>56</v>
      </c>
      <c r="F69" s="4">
        <v>3</v>
      </c>
      <c r="G69" s="5" t="s">
        <v>638</v>
      </c>
      <c r="H69" s="3" t="s">
        <v>55</v>
      </c>
      <c r="I69" s="3" t="s">
        <v>72</v>
      </c>
      <c r="J69" s="96" t="s">
        <v>906</v>
      </c>
      <c r="K69" s="97" t="s">
        <v>302</v>
      </c>
      <c r="L69" s="90">
        <f>0.7*89292756</f>
        <v>62504929.199999996</v>
      </c>
      <c r="M69" s="123"/>
      <c r="N69" s="123"/>
      <c r="O69" s="122"/>
      <c r="P69" s="122"/>
      <c r="Q69" s="122"/>
      <c r="R69" s="123"/>
      <c r="S69" s="123"/>
      <c r="T69" s="123"/>
      <c r="U69" s="123"/>
      <c r="V69" s="123"/>
      <c r="W69" s="124"/>
      <c r="X69" s="124"/>
      <c r="Y69" s="124"/>
      <c r="Z69" s="124"/>
      <c r="AA69" s="124"/>
      <c r="AB69" s="124"/>
      <c r="AC69" s="124"/>
      <c r="AD69" s="124"/>
      <c r="AE69" s="124"/>
      <c r="AF69" s="124"/>
      <c r="AG69" s="124"/>
      <c r="AH69" s="124"/>
      <c r="AI69" s="124"/>
      <c r="AJ69" s="124"/>
      <c r="AK69" s="124"/>
      <c r="AL69" s="124"/>
      <c r="AM69" s="124"/>
      <c r="AN69" s="124"/>
      <c r="AO69" s="124"/>
      <c r="AP69" s="124"/>
    </row>
    <row r="70" spans="1:42" ht="49.95" customHeight="1" x14ac:dyDescent="0.3">
      <c r="A70" s="95" t="s">
        <v>31</v>
      </c>
      <c r="B70" s="4" t="s">
        <v>9</v>
      </c>
      <c r="C70" s="95" t="s">
        <v>71</v>
      </c>
      <c r="D70" s="4" t="s">
        <v>37</v>
      </c>
      <c r="E70" s="5" t="s">
        <v>56</v>
      </c>
      <c r="F70" s="4">
        <v>4</v>
      </c>
      <c r="G70" s="5" t="s">
        <v>647</v>
      </c>
      <c r="H70" s="3" t="s">
        <v>55</v>
      </c>
      <c r="I70" s="3" t="s">
        <v>74</v>
      </c>
      <c r="J70" s="96" t="s">
        <v>857</v>
      </c>
      <c r="K70" s="97" t="s">
        <v>302</v>
      </c>
      <c r="L70" s="90">
        <v>1785855113</v>
      </c>
      <c r="M70" s="123"/>
      <c r="N70" s="123"/>
      <c r="O70" s="123"/>
      <c r="P70" s="123"/>
      <c r="Q70" s="122"/>
      <c r="R70" s="122"/>
      <c r="S70" s="122"/>
      <c r="T70" s="122"/>
      <c r="U70" s="122"/>
      <c r="V70" s="122"/>
      <c r="W70" s="124"/>
      <c r="X70" s="124"/>
      <c r="Y70" s="124"/>
      <c r="Z70" s="124"/>
      <c r="AA70" s="124"/>
      <c r="AB70" s="124"/>
      <c r="AC70" s="124"/>
      <c r="AD70" s="124"/>
      <c r="AE70" s="124"/>
      <c r="AF70" s="124"/>
      <c r="AG70" s="124"/>
      <c r="AH70" s="124"/>
      <c r="AI70" s="124"/>
      <c r="AJ70" s="124"/>
      <c r="AK70" s="124"/>
      <c r="AL70" s="124"/>
      <c r="AM70" s="124"/>
      <c r="AN70" s="124"/>
      <c r="AO70" s="124"/>
      <c r="AP70" s="124"/>
    </row>
    <row r="71" spans="1:42" ht="49.95" customHeight="1" x14ac:dyDescent="0.3">
      <c r="A71" s="95" t="s">
        <v>31</v>
      </c>
      <c r="B71" s="4" t="s">
        <v>9</v>
      </c>
      <c r="C71" s="95" t="s">
        <v>71</v>
      </c>
      <c r="D71" s="4" t="s">
        <v>293</v>
      </c>
      <c r="E71" s="5" t="s">
        <v>57</v>
      </c>
      <c r="F71" s="4">
        <v>1</v>
      </c>
      <c r="G71" s="5" t="s">
        <v>628</v>
      </c>
      <c r="H71" s="3" t="s">
        <v>55</v>
      </c>
      <c r="I71" s="3" t="s">
        <v>73</v>
      </c>
      <c r="J71" s="96" t="s">
        <v>300</v>
      </c>
      <c r="K71" s="97">
        <v>150</v>
      </c>
      <c r="L71" s="90">
        <f>K71*125</f>
        <v>18750</v>
      </c>
      <c r="M71" s="122"/>
      <c r="N71" s="123"/>
      <c r="O71" s="123"/>
      <c r="P71" s="123"/>
      <c r="Q71" s="123"/>
      <c r="R71" s="123"/>
      <c r="S71" s="123"/>
      <c r="T71" s="123"/>
      <c r="U71" s="123"/>
      <c r="V71" s="123"/>
      <c r="W71" s="124"/>
      <c r="X71" s="124"/>
      <c r="Y71" s="124"/>
      <c r="Z71" s="124"/>
      <c r="AA71" s="124"/>
      <c r="AB71" s="124"/>
      <c r="AC71" s="124"/>
      <c r="AD71" s="124"/>
      <c r="AE71" s="124"/>
      <c r="AF71" s="124"/>
      <c r="AG71" s="124"/>
      <c r="AH71" s="124"/>
      <c r="AI71" s="124"/>
      <c r="AJ71" s="124"/>
      <c r="AK71" s="124"/>
      <c r="AL71" s="124"/>
      <c r="AM71" s="124"/>
      <c r="AN71" s="124"/>
      <c r="AO71" s="124"/>
      <c r="AP71" s="124"/>
    </row>
    <row r="72" spans="1:42" ht="49.95" customHeight="1" x14ac:dyDescent="0.3">
      <c r="A72" s="95" t="s">
        <v>31</v>
      </c>
      <c r="B72" s="4" t="s">
        <v>9</v>
      </c>
      <c r="C72" s="95" t="s">
        <v>71</v>
      </c>
      <c r="D72" s="4" t="s">
        <v>293</v>
      </c>
      <c r="E72" s="5" t="s">
        <v>57</v>
      </c>
      <c r="F72" s="4">
        <v>2</v>
      </c>
      <c r="G72" s="5" t="s">
        <v>629</v>
      </c>
      <c r="H72" s="3" t="s">
        <v>55</v>
      </c>
      <c r="I72" s="3" t="s">
        <v>73</v>
      </c>
      <c r="J72" s="96" t="s">
        <v>686</v>
      </c>
      <c r="K72" s="97">
        <v>250</v>
      </c>
      <c r="L72" s="90">
        <f>K72*125</f>
        <v>31250</v>
      </c>
      <c r="M72" s="122"/>
      <c r="N72" s="123"/>
      <c r="O72" s="123"/>
      <c r="P72" s="123"/>
      <c r="Q72" s="123"/>
      <c r="R72" s="123"/>
      <c r="S72" s="123"/>
      <c r="T72" s="123"/>
      <c r="U72" s="123"/>
      <c r="V72" s="123"/>
      <c r="W72" s="124"/>
      <c r="X72" s="124"/>
      <c r="Y72" s="124"/>
      <c r="Z72" s="124"/>
      <c r="AA72" s="124"/>
      <c r="AB72" s="124"/>
      <c r="AC72" s="124"/>
      <c r="AD72" s="124"/>
      <c r="AE72" s="124"/>
      <c r="AF72" s="124"/>
      <c r="AG72" s="124"/>
      <c r="AH72" s="124"/>
      <c r="AI72" s="124"/>
      <c r="AJ72" s="124"/>
      <c r="AK72" s="124"/>
      <c r="AL72" s="124"/>
      <c r="AM72" s="124"/>
      <c r="AN72" s="124"/>
      <c r="AO72" s="124"/>
      <c r="AP72" s="124"/>
    </row>
    <row r="73" spans="1:42" ht="49.95" customHeight="1" x14ac:dyDescent="0.3">
      <c r="A73" s="95" t="s">
        <v>31</v>
      </c>
      <c r="B73" s="4" t="s">
        <v>9</v>
      </c>
      <c r="C73" s="95" t="s">
        <v>71</v>
      </c>
      <c r="D73" s="4" t="s">
        <v>293</v>
      </c>
      <c r="E73" s="5" t="s">
        <v>57</v>
      </c>
      <c r="F73" s="4">
        <v>3</v>
      </c>
      <c r="G73" s="5" t="s">
        <v>648</v>
      </c>
      <c r="H73" s="3" t="s">
        <v>55</v>
      </c>
      <c r="I73" s="3" t="s">
        <v>72</v>
      </c>
      <c r="J73" s="96" t="s">
        <v>696</v>
      </c>
      <c r="K73" s="97"/>
      <c r="L73" s="90">
        <v>1568350</v>
      </c>
      <c r="M73" s="123"/>
      <c r="N73" s="122"/>
      <c r="O73" s="123"/>
      <c r="P73" s="123"/>
      <c r="Q73" s="123"/>
      <c r="R73" s="123"/>
      <c r="S73" s="123"/>
      <c r="T73" s="123"/>
      <c r="U73" s="123"/>
      <c r="V73" s="123"/>
      <c r="W73" s="124"/>
      <c r="X73" s="124"/>
      <c r="Y73" s="124"/>
      <c r="Z73" s="124"/>
      <c r="AA73" s="124"/>
      <c r="AB73" s="124"/>
      <c r="AC73" s="124"/>
      <c r="AD73" s="124"/>
      <c r="AE73" s="124"/>
      <c r="AF73" s="124"/>
      <c r="AG73" s="124"/>
      <c r="AH73" s="124"/>
      <c r="AI73" s="124"/>
      <c r="AJ73" s="124"/>
      <c r="AK73" s="124"/>
      <c r="AL73" s="124"/>
      <c r="AM73" s="124"/>
      <c r="AN73" s="124"/>
      <c r="AO73" s="124"/>
      <c r="AP73" s="124"/>
    </row>
    <row r="74" spans="1:42" ht="49.95" customHeight="1" x14ac:dyDescent="0.3">
      <c r="A74" s="95" t="s">
        <v>31</v>
      </c>
      <c r="B74" s="4" t="s">
        <v>10</v>
      </c>
      <c r="C74" s="95" t="s">
        <v>70</v>
      </c>
      <c r="D74" s="4" t="s">
        <v>38</v>
      </c>
      <c r="E74" s="5" t="s">
        <v>259</v>
      </c>
      <c r="F74" s="4">
        <v>1</v>
      </c>
      <c r="G74" s="5" t="s">
        <v>649</v>
      </c>
      <c r="H74" s="3" t="s">
        <v>54</v>
      </c>
      <c r="I74" s="3" t="s">
        <v>73</v>
      </c>
      <c r="J74" s="96" t="s">
        <v>591</v>
      </c>
      <c r="K74" s="97">
        <v>320</v>
      </c>
      <c r="L74" s="90">
        <f>K74*125</f>
        <v>40000</v>
      </c>
      <c r="M74" s="122"/>
      <c r="N74" s="123"/>
      <c r="O74" s="123"/>
      <c r="P74" s="123"/>
      <c r="Q74" s="123"/>
      <c r="R74" s="123"/>
      <c r="S74" s="123"/>
      <c r="T74" s="123"/>
      <c r="U74" s="123"/>
      <c r="V74" s="123"/>
      <c r="W74" s="124"/>
      <c r="X74" s="124"/>
      <c r="Y74" s="124"/>
      <c r="Z74" s="124"/>
      <c r="AA74" s="124"/>
      <c r="AB74" s="124"/>
      <c r="AC74" s="124"/>
      <c r="AD74" s="124"/>
      <c r="AE74" s="124"/>
      <c r="AF74" s="124"/>
      <c r="AG74" s="124"/>
      <c r="AH74" s="124"/>
      <c r="AI74" s="124"/>
      <c r="AJ74" s="124"/>
      <c r="AK74" s="124"/>
      <c r="AL74" s="124"/>
      <c r="AM74" s="124"/>
      <c r="AN74" s="124"/>
      <c r="AO74" s="124"/>
      <c r="AP74" s="124"/>
    </row>
    <row r="75" spans="1:42" ht="49.95" customHeight="1" x14ac:dyDescent="0.3">
      <c r="A75" s="95" t="s">
        <v>31</v>
      </c>
      <c r="B75" s="4" t="s">
        <v>10</v>
      </c>
      <c r="C75" s="95" t="s">
        <v>70</v>
      </c>
      <c r="D75" s="4" t="s">
        <v>38</v>
      </c>
      <c r="E75" s="5" t="s">
        <v>259</v>
      </c>
      <c r="F75" s="4">
        <v>2</v>
      </c>
      <c r="G75" s="5" t="s">
        <v>650</v>
      </c>
      <c r="H75" s="3" t="s">
        <v>54</v>
      </c>
      <c r="I75" s="3" t="s">
        <v>73</v>
      </c>
      <c r="J75" s="96" t="s">
        <v>713</v>
      </c>
      <c r="K75" s="97">
        <v>1920</v>
      </c>
      <c r="L75" s="90">
        <f>K75*125</f>
        <v>240000</v>
      </c>
      <c r="M75" s="122"/>
      <c r="N75" s="126"/>
      <c r="O75" s="123"/>
      <c r="P75" s="123"/>
      <c r="Q75" s="123"/>
      <c r="R75" s="123"/>
      <c r="S75" s="123"/>
      <c r="T75" s="123"/>
      <c r="U75" s="123"/>
      <c r="V75" s="123"/>
      <c r="W75" s="124"/>
      <c r="X75" s="124"/>
      <c r="Y75" s="124"/>
      <c r="Z75" s="124"/>
      <c r="AA75" s="124"/>
      <c r="AB75" s="124"/>
      <c r="AC75" s="124"/>
      <c r="AD75" s="124"/>
      <c r="AE75" s="124"/>
      <c r="AF75" s="124"/>
      <c r="AG75" s="124"/>
      <c r="AH75" s="124"/>
      <c r="AI75" s="124"/>
      <c r="AJ75" s="124"/>
      <c r="AK75" s="124"/>
      <c r="AL75" s="124"/>
      <c r="AM75" s="124"/>
      <c r="AN75" s="124"/>
      <c r="AO75" s="124"/>
      <c r="AP75" s="124"/>
    </row>
    <row r="76" spans="1:42" ht="49.95" customHeight="1" x14ac:dyDescent="0.3">
      <c r="A76" s="95" t="s">
        <v>31</v>
      </c>
      <c r="B76" s="4" t="s">
        <v>10</v>
      </c>
      <c r="C76" s="95" t="s">
        <v>70</v>
      </c>
      <c r="D76" s="4" t="s">
        <v>38</v>
      </c>
      <c r="E76" s="5" t="s">
        <v>259</v>
      </c>
      <c r="F76" s="4">
        <v>3</v>
      </c>
      <c r="G76" s="5" t="s">
        <v>651</v>
      </c>
      <c r="H76" s="3" t="s">
        <v>54</v>
      </c>
      <c r="I76" s="3" t="s">
        <v>73</v>
      </c>
      <c r="J76" s="96" t="s">
        <v>302</v>
      </c>
      <c r="K76" s="97" t="s">
        <v>302</v>
      </c>
      <c r="L76" s="90" t="s">
        <v>302</v>
      </c>
      <c r="M76" s="123"/>
      <c r="N76" s="122"/>
      <c r="O76" s="122"/>
      <c r="P76" s="122"/>
      <c r="Q76" s="122"/>
      <c r="R76" s="122"/>
      <c r="S76" s="122"/>
      <c r="T76" s="122"/>
      <c r="U76" s="122"/>
      <c r="V76" s="122"/>
      <c r="W76" s="124"/>
      <c r="X76" s="124"/>
      <c r="Y76" s="124"/>
      <c r="Z76" s="124"/>
      <c r="AA76" s="124"/>
      <c r="AB76" s="124"/>
      <c r="AC76" s="124"/>
      <c r="AD76" s="124"/>
      <c r="AE76" s="124"/>
      <c r="AF76" s="124"/>
      <c r="AG76" s="124"/>
      <c r="AH76" s="124"/>
      <c r="AI76" s="124"/>
      <c r="AJ76" s="124"/>
      <c r="AK76" s="124"/>
      <c r="AL76" s="124"/>
      <c r="AM76" s="124"/>
      <c r="AN76" s="124"/>
      <c r="AO76" s="124"/>
      <c r="AP76" s="124"/>
    </row>
    <row r="77" spans="1:42" ht="49.95" customHeight="1" x14ac:dyDescent="0.3">
      <c r="A77" s="95" t="s">
        <v>31</v>
      </c>
      <c r="B77" s="4" t="s">
        <v>10</v>
      </c>
      <c r="C77" s="95" t="s">
        <v>70</v>
      </c>
      <c r="D77" s="4" t="s">
        <v>39</v>
      </c>
      <c r="E77" s="5" t="s">
        <v>255</v>
      </c>
      <c r="F77" s="4">
        <v>1</v>
      </c>
      <c r="G77" s="3" t="s">
        <v>589</v>
      </c>
      <c r="H77" s="3" t="s">
        <v>952</v>
      </c>
      <c r="I77" s="3" t="s">
        <v>73</v>
      </c>
      <c r="J77" s="96" t="s">
        <v>590</v>
      </c>
      <c r="K77" s="97">
        <v>160</v>
      </c>
      <c r="L77" s="90">
        <f>K77*125</f>
        <v>20000</v>
      </c>
      <c r="M77" s="122"/>
      <c r="N77" s="123"/>
      <c r="O77" s="123"/>
      <c r="P77" s="123"/>
      <c r="Q77" s="123"/>
      <c r="R77" s="123"/>
      <c r="S77" s="123"/>
      <c r="T77" s="123"/>
      <c r="U77" s="123"/>
      <c r="V77" s="123"/>
      <c r="W77" s="124"/>
      <c r="X77" s="124"/>
      <c r="Y77" s="124"/>
      <c r="Z77" s="124"/>
      <c r="AA77" s="124"/>
      <c r="AB77" s="124"/>
      <c r="AC77" s="124"/>
      <c r="AD77" s="124"/>
      <c r="AE77" s="124"/>
      <c r="AF77" s="124"/>
      <c r="AG77" s="124"/>
      <c r="AH77" s="124"/>
      <c r="AI77" s="124"/>
      <c r="AJ77" s="124"/>
      <c r="AK77" s="124"/>
      <c r="AL77" s="124"/>
      <c r="AM77" s="124"/>
      <c r="AN77" s="124"/>
      <c r="AO77" s="124"/>
      <c r="AP77" s="124"/>
    </row>
    <row r="78" spans="1:42" ht="49.95" customHeight="1" x14ac:dyDescent="0.3">
      <c r="A78" s="95" t="s">
        <v>31</v>
      </c>
      <c r="B78" s="4" t="s">
        <v>10</v>
      </c>
      <c r="C78" s="95" t="s">
        <v>70</v>
      </c>
      <c r="D78" s="4" t="s">
        <v>39</v>
      </c>
      <c r="E78" s="5" t="s">
        <v>255</v>
      </c>
      <c r="F78" s="4">
        <v>2</v>
      </c>
      <c r="G78" s="5" t="s">
        <v>652</v>
      </c>
      <c r="H78" s="3" t="s">
        <v>54</v>
      </c>
      <c r="I78" s="3" t="s">
        <v>73</v>
      </c>
      <c r="J78" s="96" t="s">
        <v>714</v>
      </c>
      <c r="K78" s="97">
        <v>480</v>
      </c>
      <c r="L78" s="90">
        <f>K78*125</f>
        <v>60000</v>
      </c>
      <c r="M78" s="122"/>
      <c r="N78" s="123"/>
      <c r="O78" s="123"/>
      <c r="P78" s="123"/>
      <c r="Q78" s="123"/>
      <c r="R78" s="123"/>
      <c r="S78" s="123"/>
      <c r="T78" s="123"/>
      <c r="U78" s="123"/>
      <c r="V78" s="123"/>
      <c r="W78" s="124"/>
      <c r="X78" s="124"/>
      <c r="Y78" s="124"/>
      <c r="Z78" s="124"/>
      <c r="AA78" s="124"/>
      <c r="AB78" s="124"/>
      <c r="AC78" s="124"/>
      <c r="AD78" s="124"/>
      <c r="AE78" s="124"/>
      <c r="AF78" s="124"/>
      <c r="AG78" s="124"/>
      <c r="AH78" s="124"/>
      <c r="AI78" s="124"/>
      <c r="AJ78" s="124"/>
      <c r="AK78" s="124"/>
      <c r="AL78" s="124"/>
      <c r="AM78" s="124"/>
      <c r="AN78" s="124"/>
      <c r="AO78" s="124"/>
      <c r="AP78" s="124"/>
    </row>
    <row r="79" spans="1:42" ht="49.95" customHeight="1" x14ac:dyDescent="0.3">
      <c r="A79" s="95" t="s">
        <v>31</v>
      </c>
      <c r="B79" s="4" t="s">
        <v>10</v>
      </c>
      <c r="C79" s="95" t="s">
        <v>70</v>
      </c>
      <c r="D79" s="4" t="s">
        <v>39</v>
      </c>
      <c r="E79" s="5" t="s">
        <v>255</v>
      </c>
      <c r="F79" s="4">
        <v>3</v>
      </c>
      <c r="G79" s="5" t="s">
        <v>653</v>
      </c>
      <c r="H79" s="3" t="s">
        <v>54</v>
      </c>
      <c r="I79" s="3" t="s">
        <v>73</v>
      </c>
      <c r="J79" s="96" t="s">
        <v>302</v>
      </c>
      <c r="K79" s="97" t="s">
        <v>302</v>
      </c>
      <c r="L79" s="90" t="s">
        <v>302</v>
      </c>
      <c r="M79" s="123"/>
      <c r="N79" s="122"/>
      <c r="O79" s="122"/>
      <c r="P79" s="122"/>
      <c r="Q79" s="122"/>
      <c r="R79" s="122"/>
      <c r="S79" s="122"/>
      <c r="T79" s="122"/>
      <c r="U79" s="122"/>
      <c r="V79" s="122"/>
      <c r="W79" s="124"/>
      <c r="X79" s="124"/>
      <c r="Y79" s="124"/>
      <c r="Z79" s="124"/>
      <c r="AA79" s="124"/>
      <c r="AB79" s="124"/>
      <c r="AC79" s="124"/>
      <c r="AD79" s="124"/>
      <c r="AE79" s="124"/>
      <c r="AF79" s="124"/>
      <c r="AG79" s="124"/>
      <c r="AH79" s="124"/>
      <c r="AI79" s="124"/>
      <c r="AJ79" s="124"/>
      <c r="AK79" s="124"/>
      <c r="AL79" s="124"/>
      <c r="AM79" s="124"/>
      <c r="AN79" s="124"/>
      <c r="AO79" s="124"/>
      <c r="AP79" s="124"/>
    </row>
    <row r="80" spans="1:42" ht="49.95" customHeight="1" x14ac:dyDescent="0.3">
      <c r="A80" s="95" t="s">
        <v>31</v>
      </c>
      <c r="B80" s="4" t="s">
        <v>10</v>
      </c>
      <c r="C80" s="95" t="s">
        <v>70</v>
      </c>
      <c r="D80" s="4" t="s">
        <v>39</v>
      </c>
      <c r="E80" s="5" t="s">
        <v>255</v>
      </c>
      <c r="F80" s="4">
        <v>4</v>
      </c>
      <c r="G80" s="5" t="s">
        <v>654</v>
      </c>
      <c r="H80" s="3" t="s">
        <v>54</v>
      </c>
      <c r="I80" s="3" t="s">
        <v>73</v>
      </c>
      <c r="J80" s="96" t="s">
        <v>715</v>
      </c>
      <c r="K80" s="97">
        <v>1440</v>
      </c>
      <c r="L80" s="90">
        <f>K80*125</f>
        <v>180000</v>
      </c>
      <c r="M80" s="123"/>
      <c r="N80" s="122"/>
      <c r="O80" s="122"/>
      <c r="P80" s="122"/>
      <c r="Q80" s="122"/>
      <c r="R80" s="122"/>
      <c r="S80" s="122"/>
      <c r="T80" s="122"/>
      <c r="U80" s="122"/>
      <c r="V80" s="122"/>
      <c r="W80" s="124"/>
      <c r="X80" s="124"/>
      <c r="Y80" s="124"/>
      <c r="Z80" s="124"/>
      <c r="AA80" s="124"/>
      <c r="AB80" s="124"/>
      <c r="AC80" s="124"/>
      <c r="AD80" s="124"/>
      <c r="AE80" s="124"/>
      <c r="AF80" s="124"/>
      <c r="AG80" s="124"/>
      <c r="AH80" s="124"/>
      <c r="AI80" s="124"/>
      <c r="AJ80" s="124"/>
      <c r="AK80" s="124"/>
      <c r="AL80" s="124"/>
      <c r="AM80" s="124"/>
      <c r="AN80" s="124"/>
      <c r="AO80" s="124"/>
      <c r="AP80" s="124"/>
    </row>
    <row r="81" spans="1:42" ht="49.95" customHeight="1" x14ac:dyDescent="0.3">
      <c r="A81" s="95" t="s">
        <v>260</v>
      </c>
      <c r="B81" s="4" t="s">
        <v>11</v>
      </c>
      <c r="C81" s="95" t="s">
        <v>282</v>
      </c>
      <c r="D81" s="4" t="s">
        <v>40</v>
      </c>
      <c r="E81" s="5" t="s">
        <v>283</v>
      </c>
      <c r="F81" s="4">
        <v>1</v>
      </c>
      <c r="G81" s="5" t="s">
        <v>655</v>
      </c>
      <c r="H81" s="3" t="s">
        <v>256</v>
      </c>
      <c r="I81" s="3" t="s">
        <v>73</v>
      </c>
      <c r="J81" s="96" t="s">
        <v>300</v>
      </c>
      <c r="K81" s="97">
        <v>150</v>
      </c>
      <c r="L81" s="90">
        <f>K81*125</f>
        <v>18750</v>
      </c>
      <c r="M81" s="122"/>
      <c r="N81" s="123"/>
      <c r="O81" s="123"/>
      <c r="P81" s="123"/>
      <c r="Q81" s="123"/>
      <c r="R81" s="123"/>
      <c r="S81" s="123"/>
      <c r="T81" s="123"/>
      <c r="U81" s="123"/>
      <c r="V81" s="123"/>
      <c r="W81" s="124"/>
      <c r="X81" s="124"/>
      <c r="Y81" s="124"/>
      <c r="Z81" s="124"/>
      <c r="AA81" s="124"/>
      <c r="AB81" s="124"/>
      <c r="AC81" s="124"/>
      <c r="AD81" s="124"/>
      <c r="AE81" s="124"/>
      <c r="AF81" s="124"/>
      <c r="AG81" s="124"/>
      <c r="AH81" s="124"/>
      <c r="AI81" s="124"/>
      <c r="AJ81" s="124"/>
      <c r="AK81" s="124"/>
      <c r="AL81" s="124"/>
      <c r="AM81" s="124"/>
      <c r="AN81" s="124"/>
      <c r="AO81" s="124"/>
      <c r="AP81" s="124"/>
    </row>
    <row r="82" spans="1:42" ht="49.95" customHeight="1" x14ac:dyDescent="0.3">
      <c r="A82" s="95" t="s">
        <v>260</v>
      </c>
      <c r="B82" s="4" t="s">
        <v>11</v>
      </c>
      <c r="C82" s="95" t="s">
        <v>282</v>
      </c>
      <c r="D82" s="4" t="s">
        <v>40</v>
      </c>
      <c r="E82" s="5" t="s">
        <v>283</v>
      </c>
      <c r="F82" s="4">
        <v>2</v>
      </c>
      <c r="G82" s="5" t="s">
        <v>629</v>
      </c>
      <c r="H82" s="3" t="s">
        <v>256</v>
      </c>
      <c r="I82" s="3" t="s">
        <v>73</v>
      </c>
      <c r="J82" s="96" t="s">
        <v>686</v>
      </c>
      <c r="K82" s="97">
        <v>250</v>
      </c>
      <c r="L82" s="90">
        <f>K82*125</f>
        <v>31250</v>
      </c>
      <c r="M82" s="122"/>
      <c r="N82" s="123"/>
      <c r="O82" s="123"/>
      <c r="P82" s="123"/>
      <c r="Q82" s="123"/>
      <c r="R82" s="123"/>
      <c r="S82" s="123"/>
      <c r="T82" s="123"/>
      <c r="U82" s="123"/>
      <c r="V82" s="123"/>
      <c r="W82" s="124"/>
      <c r="X82" s="124"/>
      <c r="Y82" s="124"/>
      <c r="Z82" s="124"/>
      <c r="AA82" s="124"/>
      <c r="AB82" s="124"/>
      <c r="AC82" s="124"/>
      <c r="AD82" s="124"/>
      <c r="AE82" s="124"/>
      <c r="AF82" s="124"/>
      <c r="AG82" s="124"/>
      <c r="AH82" s="124"/>
      <c r="AI82" s="124"/>
      <c r="AJ82" s="124"/>
      <c r="AK82" s="124"/>
      <c r="AL82" s="124"/>
      <c r="AM82" s="124"/>
      <c r="AN82" s="124"/>
      <c r="AO82" s="124"/>
      <c r="AP82" s="124"/>
    </row>
    <row r="83" spans="1:42" ht="49.95" customHeight="1" x14ac:dyDescent="0.3">
      <c r="A83" s="95" t="s">
        <v>260</v>
      </c>
      <c r="B83" s="4" t="s">
        <v>11</v>
      </c>
      <c r="C83" s="95" t="s">
        <v>282</v>
      </c>
      <c r="D83" s="4" t="s">
        <v>40</v>
      </c>
      <c r="E83" s="5" t="s">
        <v>283</v>
      </c>
      <c r="F83" s="4">
        <v>3</v>
      </c>
      <c r="G83" s="5" t="s">
        <v>722</v>
      </c>
      <c r="H83" s="3" t="s">
        <v>717</v>
      </c>
      <c r="I83" s="3" t="s">
        <v>72</v>
      </c>
      <c r="J83" s="96" t="s">
        <v>716</v>
      </c>
      <c r="K83" s="97" t="s">
        <v>302</v>
      </c>
      <c r="L83" s="90">
        <f>22*560000</f>
        <v>12320000</v>
      </c>
      <c r="M83" s="123"/>
      <c r="N83" s="122"/>
      <c r="O83" s="122"/>
      <c r="P83" s="123"/>
      <c r="Q83" s="123"/>
      <c r="R83" s="123"/>
      <c r="S83" s="123"/>
      <c r="T83" s="123"/>
      <c r="U83" s="123"/>
      <c r="V83" s="123"/>
      <c r="W83" s="124"/>
      <c r="X83" s="124"/>
      <c r="Y83" s="124"/>
      <c r="Z83" s="124"/>
      <c r="AA83" s="124"/>
      <c r="AB83" s="124"/>
      <c r="AC83" s="124"/>
      <c r="AD83" s="124"/>
      <c r="AE83" s="124"/>
      <c r="AF83" s="124"/>
      <c r="AG83" s="124"/>
      <c r="AH83" s="124"/>
      <c r="AI83" s="124"/>
      <c r="AJ83" s="124"/>
      <c r="AK83" s="124"/>
      <c r="AL83" s="124"/>
      <c r="AM83" s="124"/>
      <c r="AN83" s="124"/>
      <c r="AO83" s="124"/>
      <c r="AP83" s="124"/>
    </row>
    <row r="84" spans="1:42" ht="49.95" customHeight="1" x14ac:dyDescent="0.3">
      <c r="A84" s="95" t="s">
        <v>260</v>
      </c>
      <c r="B84" s="4" t="s">
        <v>11</v>
      </c>
      <c r="C84" s="95" t="s">
        <v>282</v>
      </c>
      <c r="D84" s="4" t="s">
        <v>40</v>
      </c>
      <c r="E84" s="5" t="s">
        <v>283</v>
      </c>
      <c r="F84" s="4">
        <v>4</v>
      </c>
      <c r="G84" s="5" t="s">
        <v>656</v>
      </c>
      <c r="H84" s="3" t="s">
        <v>58</v>
      </c>
      <c r="I84" s="3" t="s">
        <v>73</v>
      </c>
      <c r="J84" s="96" t="s">
        <v>302</v>
      </c>
      <c r="K84" s="97" t="s">
        <v>302</v>
      </c>
      <c r="L84" s="90" t="s">
        <v>302</v>
      </c>
      <c r="M84" s="123"/>
      <c r="N84" s="123"/>
      <c r="O84" s="123"/>
      <c r="P84" s="122"/>
      <c r="Q84" s="122"/>
      <c r="R84" s="122"/>
      <c r="S84" s="122"/>
      <c r="T84" s="126"/>
      <c r="U84" s="126"/>
      <c r="V84" s="126"/>
      <c r="W84" s="127"/>
      <c r="X84" s="127"/>
      <c r="Y84" s="127"/>
      <c r="Z84" s="127"/>
      <c r="AA84" s="127"/>
      <c r="AB84" s="127"/>
      <c r="AC84" s="127"/>
      <c r="AD84" s="127"/>
      <c r="AE84" s="127"/>
      <c r="AF84" s="127"/>
      <c r="AG84" s="127"/>
      <c r="AH84" s="127"/>
      <c r="AI84" s="127"/>
      <c r="AJ84" s="127"/>
      <c r="AK84" s="127"/>
      <c r="AL84" s="127"/>
      <c r="AM84" s="127"/>
      <c r="AN84" s="127"/>
      <c r="AO84" s="127"/>
      <c r="AP84" s="127"/>
    </row>
    <row r="85" spans="1:42" ht="49.95" customHeight="1" x14ac:dyDescent="0.3">
      <c r="A85" s="95" t="s">
        <v>260</v>
      </c>
      <c r="B85" s="4" t="s">
        <v>11</v>
      </c>
      <c r="C85" s="95" t="s">
        <v>282</v>
      </c>
      <c r="D85" s="4" t="s">
        <v>41</v>
      </c>
      <c r="E85" s="5" t="s">
        <v>284</v>
      </c>
      <c r="F85" s="4">
        <v>1</v>
      </c>
      <c r="G85" s="5" t="s">
        <v>657</v>
      </c>
      <c r="H85" s="3" t="s">
        <v>58</v>
      </c>
      <c r="I85" s="3" t="s">
        <v>73</v>
      </c>
      <c r="J85" s="96" t="s">
        <v>719</v>
      </c>
      <c r="K85" s="97" t="s">
        <v>302</v>
      </c>
      <c r="L85" s="90">
        <f>22*20000</f>
        <v>440000</v>
      </c>
      <c r="M85" s="122"/>
      <c r="N85" s="122"/>
      <c r="O85" s="123"/>
      <c r="P85" s="123"/>
      <c r="Q85" s="123"/>
      <c r="R85" s="123"/>
      <c r="S85" s="123"/>
      <c r="T85" s="123"/>
      <c r="U85" s="123"/>
      <c r="V85" s="123"/>
      <c r="W85" s="124"/>
      <c r="X85" s="124"/>
      <c r="Y85" s="124"/>
      <c r="Z85" s="124"/>
      <c r="AA85" s="124"/>
      <c r="AB85" s="124"/>
      <c r="AC85" s="124"/>
      <c r="AD85" s="124"/>
      <c r="AE85" s="124"/>
      <c r="AF85" s="124"/>
      <c r="AG85" s="124"/>
      <c r="AH85" s="124"/>
      <c r="AI85" s="124"/>
      <c r="AJ85" s="124"/>
      <c r="AK85" s="124"/>
      <c r="AL85" s="124"/>
      <c r="AM85" s="124"/>
      <c r="AN85" s="124"/>
      <c r="AO85" s="124"/>
      <c r="AP85" s="124"/>
    </row>
    <row r="86" spans="1:42" ht="49.95" customHeight="1" x14ac:dyDescent="0.3">
      <c r="A86" s="95" t="s">
        <v>260</v>
      </c>
      <c r="B86" s="4" t="s">
        <v>11</v>
      </c>
      <c r="C86" s="95" t="s">
        <v>282</v>
      </c>
      <c r="D86" s="4" t="s">
        <v>41</v>
      </c>
      <c r="E86" s="5" t="s">
        <v>284</v>
      </c>
      <c r="F86" s="4">
        <v>2</v>
      </c>
      <c r="G86" s="5" t="s">
        <v>658</v>
      </c>
      <c r="H86" s="3" t="s">
        <v>58</v>
      </c>
      <c r="I86" s="3" t="s">
        <v>73</v>
      </c>
      <c r="J86" s="96" t="s">
        <v>720</v>
      </c>
      <c r="K86" s="97" t="s">
        <v>302</v>
      </c>
      <c r="L86" s="90">
        <f>10000*28*22</f>
        <v>6160000</v>
      </c>
      <c r="M86" s="123"/>
      <c r="N86" s="123"/>
      <c r="O86" s="122"/>
      <c r="P86" s="122"/>
      <c r="Q86" s="122"/>
      <c r="R86" s="122"/>
      <c r="S86" s="122"/>
      <c r="T86" s="122"/>
      <c r="U86" s="122"/>
      <c r="V86" s="122"/>
      <c r="W86" s="125"/>
      <c r="X86" s="125"/>
      <c r="Y86" s="125"/>
      <c r="Z86" s="125"/>
      <c r="AA86" s="125"/>
      <c r="AB86" s="125"/>
      <c r="AC86" s="125"/>
      <c r="AD86" s="125"/>
      <c r="AE86" s="125"/>
      <c r="AF86" s="125"/>
      <c r="AG86" s="125"/>
      <c r="AH86" s="125"/>
      <c r="AI86" s="125"/>
      <c r="AJ86" s="125"/>
      <c r="AK86" s="125"/>
      <c r="AL86" s="125"/>
      <c r="AM86" s="125"/>
      <c r="AN86" s="125"/>
      <c r="AO86" s="125"/>
      <c r="AP86" s="125"/>
    </row>
    <row r="87" spans="1:42" ht="49.95" customHeight="1" x14ac:dyDescent="0.3">
      <c r="A87" s="95" t="s">
        <v>260</v>
      </c>
      <c r="B87" s="4" t="s">
        <v>11</v>
      </c>
      <c r="C87" s="95" t="s">
        <v>282</v>
      </c>
      <c r="D87" s="4" t="s">
        <v>41</v>
      </c>
      <c r="E87" s="5" t="s">
        <v>284</v>
      </c>
      <c r="F87" s="4">
        <v>3</v>
      </c>
      <c r="G87" s="5" t="s">
        <v>659</v>
      </c>
      <c r="H87" s="3" t="s">
        <v>58</v>
      </c>
      <c r="I87" s="3" t="s">
        <v>73</v>
      </c>
      <c r="J87" s="96" t="s">
        <v>720</v>
      </c>
      <c r="K87" s="97" t="s">
        <v>302</v>
      </c>
      <c r="L87" s="90">
        <f>10000*28*22</f>
        <v>6160000</v>
      </c>
      <c r="M87" s="123"/>
      <c r="N87" s="123"/>
      <c r="O87" s="122"/>
      <c r="P87" s="122"/>
      <c r="Q87" s="122"/>
      <c r="R87" s="122"/>
      <c r="S87" s="122"/>
      <c r="T87" s="122"/>
      <c r="U87" s="122"/>
      <c r="V87" s="122"/>
      <c r="W87" s="125"/>
      <c r="X87" s="125"/>
      <c r="Y87" s="125"/>
      <c r="Z87" s="125"/>
      <c r="AA87" s="125"/>
      <c r="AB87" s="125"/>
      <c r="AC87" s="125"/>
      <c r="AD87" s="125"/>
      <c r="AE87" s="125"/>
      <c r="AF87" s="125"/>
      <c r="AG87" s="125"/>
      <c r="AH87" s="125"/>
      <c r="AI87" s="125"/>
      <c r="AJ87" s="125"/>
      <c r="AK87" s="125"/>
      <c r="AL87" s="125"/>
      <c r="AM87" s="125"/>
      <c r="AN87" s="125"/>
      <c r="AO87" s="125"/>
      <c r="AP87" s="125"/>
    </row>
    <row r="88" spans="1:42" ht="49.95" customHeight="1" x14ac:dyDescent="0.3">
      <c r="A88" s="95" t="s">
        <v>260</v>
      </c>
      <c r="B88" s="4" t="s">
        <v>11</v>
      </c>
      <c r="C88" s="95" t="s">
        <v>282</v>
      </c>
      <c r="D88" s="4" t="s">
        <v>42</v>
      </c>
      <c r="E88" s="5" t="s">
        <v>285</v>
      </c>
      <c r="F88" s="4">
        <v>1</v>
      </c>
      <c r="G88" s="5" t="s">
        <v>660</v>
      </c>
      <c r="H88" s="3" t="s">
        <v>256</v>
      </c>
      <c r="I88" s="3" t="s">
        <v>73</v>
      </c>
      <c r="J88" s="96" t="s">
        <v>718</v>
      </c>
      <c r="K88" s="97">
        <v>160</v>
      </c>
      <c r="L88" s="90">
        <f>K88*125*22</f>
        <v>440000</v>
      </c>
      <c r="M88" s="122"/>
      <c r="N88" s="122"/>
      <c r="O88" s="123"/>
      <c r="P88" s="123"/>
      <c r="Q88" s="123"/>
      <c r="R88" s="123"/>
      <c r="S88" s="123"/>
      <c r="T88" s="123"/>
      <c r="U88" s="123"/>
      <c r="V88" s="123"/>
      <c r="W88" s="124"/>
      <c r="X88" s="124"/>
      <c r="Y88" s="124"/>
      <c r="Z88" s="124"/>
      <c r="AA88" s="124"/>
      <c r="AB88" s="124"/>
      <c r="AC88" s="124"/>
      <c r="AD88" s="124"/>
      <c r="AE88" s="124"/>
      <c r="AF88" s="124"/>
      <c r="AG88" s="124"/>
      <c r="AH88" s="124"/>
      <c r="AI88" s="124"/>
      <c r="AJ88" s="124"/>
      <c r="AK88" s="124"/>
      <c r="AL88" s="124"/>
      <c r="AM88" s="124"/>
      <c r="AN88" s="124"/>
      <c r="AO88" s="124"/>
      <c r="AP88" s="124"/>
    </row>
    <row r="89" spans="1:42" ht="49.95" customHeight="1" x14ac:dyDescent="0.3">
      <c r="A89" s="95" t="s">
        <v>260</v>
      </c>
      <c r="B89" s="4" t="s">
        <v>11</v>
      </c>
      <c r="C89" s="95" t="s">
        <v>282</v>
      </c>
      <c r="D89" s="4" t="s">
        <v>42</v>
      </c>
      <c r="E89" s="5" t="s">
        <v>285</v>
      </c>
      <c r="F89" s="4">
        <v>2</v>
      </c>
      <c r="G89" s="5" t="s">
        <v>661</v>
      </c>
      <c r="H89" s="3" t="s">
        <v>256</v>
      </c>
      <c r="I89" s="3" t="s">
        <v>73</v>
      </c>
      <c r="J89" s="96" t="s">
        <v>718</v>
      </c>
      <c r="K89" s="97">
        <v>160</v>
      </c>
      <c r="L89" s="90">
        <f>K89*125*22</f>
        <v>440000</v>
      </c>
      <c r="M89" s="123"/>
      <c r="N89" s="122"/>
      <c r="O89" s="122"/>
      <c r="P89" s="123"/>
      <c r="Q89" s="123"/>
      <c r="R89" s="123"/>
      <c r="S89" s="123"/>
      <c r="T89" s="123"/>
      <c r="U89" s="123"/>
      <c r="V89" s="123"/>
      <c r="W89" s="124"/>
      <c r="X89" s="124"/>
      <c r="Y89" s="124"/>
      <c r="Z89" s="124"/>
      <c r="AA89" s="124"/>
      <c r="AB89" s="124"/>
      <c r="AC89" s="124"/>
      <c r="AD89" s="124"/>
      <c r="AE89" s="124"/>
      <c r="AF89" s="124"/>
      <c r="AG89" s="124"/>
      <c r="AH89" s="124"/>
      <c r="AI89" s="124"/>
      <c r="AJ89" s="124"/>
      <c r="AK89" s="124"/>
      <c r="AL89" s="124"/>
      <c r="AM89" s="124"/>
      <c r="AN89" s="124"/>
      <c r="AO89" s="124"/>
      <c r="AP89" s="124"/>
    </row>
    <row r="90" spans="1:42" ht="49.95" customHeight="1" x14ac:dyDescent="0.3">
      <c r="A90" s="95" t="s">
        <v>260</v>
      </c>
      <c r="B90" s="4" t="s">
        <v>11</v>
      </c>
      <c r="C90" s="95" t="s">
        <v>282</v>
      </c>
      <c r="D90" s="4" t="s">
        <v>42</v>
      </c>
      <c r="E90" s="5" t="s">
        <v>285</v>
      </c>
      <c r="F90" s="4">
        <v>3</v>
      </c>
      <c r="G90" s="5" t="s">
        <v>662</v>
      </c>
      <c r="H90" s="3" t="s">
        <v>58</v>
      </c>
      <c r="I90" s="3" t="s">
        <v>72</v>
      </c>
      <c r="J90" s="96" t="s">
        <v>721</v>
      </c>
      <c r="K90" s="97" t="s">
        <v>302</v>
      </c>
      <c r="L90" s="91">
        <f>22*200000</f>
        <v>4400000</v>
      </c>
      <c r="M90" s="123"/>
      <c r="N90" s="123"/>
      <c r="O90" s="123"/>
      <c r="P90" s="122"/>
      <c r="Q90" s="122"/>
      <c r="R90" s="123"/>
      <c r="S90" s="123"/>
      <c r="T90" s="123"/>
      <c r="U90" s="123"/>
      <c r="V90" s="123"/>
      <c r="W90" s="124"/>
      <c r="X90" s="124"/>
      <c r="Y90" s="124"/>
      <c r="Z90" s="124"/>
      <c r="AA90" s="124"/>
      <c r="AB90" s="124"/>
      <c r="AC90" s="124"/>
      <c r="AD90" s="124"/>
      <c r="AE90" s="124"/>
      <c r="AF90" s="124"/>
      <c r="AG90" s="124"/>
      <c r="AH90" s="124"/>
      <c r="AI90" s="124"/>
      <c r="AJ90" s="124"/>
      <c r="AK90" s="124"/>
      <c r="AL90" s="124"/>
      <c r="AM90" s="124"/>
      <c r="AN90" s="124"/>
      <c r="AO90" s="124"/>
      <c r="AP90" s="124"/>
    </row>
    <row r="91" spans="1:42" ht="49.95" customHeight="1" x14ac:dyDescent="0.3">
      <c r="A91" s="95" t="s">
        <v>260</v>
      </c>
      <c r="B91" s="4" t="s">
        <v>11</v>
      </c>
      <c r="C91" s="95" t="s">
        <v>282</v>
      </c>
      <c r="D91" s="4" t="s">
        <v>43</v>
      </c>
      <c r="E91" s="5" t="s">
        <v>286</v>
      </c>
      <c r="F91" s="4">
        <v>1</v>
      </c>
      <c r="G91" s="5" t="s">
        <v>663</v>
      </c>
      <c r="H91" s="3" t="s">
        <v>53</v>
      </c>
      <c r="I91" s="3" t="s">
        <v>73</v>
      </c>
      <c r="J91" s="96" t="s">
        <v>713</v>
      </c>
      <c r="K91" s="97">
        <v>1920</v>
      </c>
      <c r="L91" s="90">
        <f>K91*125</f>
        <v>240000</v>
      </c>
      <c r="M91" s="122"/>
      <c r="N91" s="122"/>
      <c r="O91" s="123"/>
      <c r="P91" s="123"/>
      <c r="Q91" s="123"/>
      <c r="R91" s="123"/>
      <c r="S91" s="123"/>
      <c r="T91" s="123"/>
      <c r="U91" s="123"/>
      <c r="V91" s="123"/>
      <c r="W91" s="124"/>
      <c r="X91" s="124"/>
      <c r="Y91" s="124"/>
      <c r="Z91" s="124"/>
      <c r="AA91" s="124"/>
      <c r="AB91" s="124"/>
      <c r="AC91" s="124"/>
      <c r="AD91" s="124"/>
      <c r="AE91" s="124"/>
      <c r="AF91" s="124"/>
      <c r="AG91" s="124"/>
      <c r="AH91" s="124"/>
      <c r="AI91" s="124"/>
      <c r="AJ91" s="124"/>
      <c r="AK91" s="124"/>
      <c r="AL91" s="124"/>
      <c r="AM91" s="124"/>
      <c r="AN91" s="124"/>
      <c r="AO91" s="124"/>
      <c r="AP91" s="124"/>
    </row>
    <row r="92" spans="1:42" ht="49.95" customHeight="1" x14ac:dyDescent="0.3">
      <c r="A92" s="95" t="s">
        <v>260</v>
      </c>
      <c r="B92" s="4" t="s">
        <v>11</v>
      </c>
      <c r="C92" s="95" t="s">
        <v>282</v>
      </c>
      <c r="D92" s="4" t="s">
        <v>43</v>
      </c>
      <c r="E92" s="5" t="s">
        <v>286</v>
      </c>
      <c r="F92" s="4">
        <v>2</v>
      </c>
      <c r="G92" s="5" t="s">
        <v>664</v>
      </c>
      <c r="H92" s="3" t="s">
        <v>53</v>
      </c>
      <c r="I92" s="3" t="s">
        <v>73</v>
      </c>
      <c r="J92" s="96" t="s">
        <v>723</v>
      </c>
      <c r="K92" s="97">
        <v>960</v>
      </c>
      <c r="L92" s="90">
        <f>K92*125+5*63561</f>
        <v>437805</v>
      </c>
      <c r="M92" s="123"/>
      <c r="N92" s="123"/>
      <c r="O92" s="126"/>
      <c r="P92" s="122"/>
      <c r="Q92" s="123"/>
      <c r="R92" s="123"/>
      <c r="S92" s="123"/>
      <c r="T92" s="123"/>
      <c r="U92" s="123"/>
      <c r="V92" s="123"/>
      <c r="W92" s="124"/>
      <c r="X92" s="124"/>
      <c r="Y92" s="124"/>
      <c r="Z92" s="124"/>
      <c r="AA92" s="124"/>
      <c r="AB92" s="124"/>
      <c r="AC92" s="124"/>
      <c r="AD92" s="124"/>
      <c r="AE92" s="124"/>
      <c r="AF92" s="124"/>
      <c r="AG92" s="124"/>
      <c r="AH92" s="124"/>
      <c r="AI92" s="124"/>
      <c r="AJ92" s="124"/>
      <c r="AK92" s="124"/>
      <c r="AL92" s="124"/>
      <c r="AM92" s="124"/>
      <c r="AN92" s="124"/>
      <c r="AO92" s="124"/>
      <c r="AP92" s="124"/>
    </row>
    <row r="93" spans="1:42" ht="49.95" customHeight="1" x14ac:dyDescent="0.3">
      <c r="A93" s="95" t="s">
        <v>260</v>
      </c>
      <c r="B93" s="4" t="s">
        <v>11</v>
      </c>
      <c r="C93" s="95" t="s">
        <v>282</v>
      </c>
      <c r="D93" s="4" t="s">
        <v>43</v>
      </c>
      <c r="E93" s="5" t="s">
        <v>286</v>
      </c>
      <c r="F93" s="4">
        <v>3</v>
      </c>
      <c r="G93" s="5" t="s">
        <v>665</v>
      </c>
      <c r="H93" s="3" t="s">
        <v>53</v>
      </c>
      <c r="I93" s="3" t="s">
        <v>72</v>
      </c>
      <c r="J93" s="96" t="s">
        <v>724</v>
      </c>
      <c r="K93" s="97" t="s">
        <v>302</v>
      </c>
      <c r="L93" s="91">
        <v>2295117</v>
      </c>
      <c r="M93" s="123"/>
      <c r="N93" s="123"/>
      <c r="O93" s="122"/>
      <c r="P93" s="122"/>
      <c r="Q93" s="126"/>
      <c r="R93" s="123"/>
      <c r="S93" s="123"/>
      <c r="T93" s="123"/>
      <c r="U93" s="123"/>
      <c r="V93" s="123"/>
      <c r="W93" s="124"/>
      <c r="X93" s="124"/>
      <c r="Y93" s="124"/>
      <c r="Z93" s="124"/>
      <c r="AA93" s="124"/>
      <c r="AB93" s="124"/>
      <c r="AC93" s="124"/>
      <c r="AD93" s="124"/>
      <c r="AE93" s="124"/>
      <c r="AF93" s="124"/>
      <c r="AG93" s="124"/>
      <c r="AH93" s="124"/>
      <c r="AI93" s="124"/>
      <c r="AJ93" s="124"/>
      <c r="AK93" s="124"/>
      <c r="AL93" s="124"/>
      <c r="AM93" s="124"/>
      <c r="AN93" s="124"/>
      <c r="AO93" s="124"/>
      <c r="AP93" s="124"/>
    </row>
    <row r="94" spans="1:42" ht="49.95" customHeight="1" x14ac:dyDescent="0.3">
      <c r="A94" s="95" t="s">
        <v>260</v>
      </c>
      <c r="B94" s="4" t="s">
        <v>11</v>
      </c>
      <c r="C94" s="95" t="s">
        <v>282</v>
      </c>
      <c r="D94" s="4" t="s">
        <v>43</v>
      </c>
      <c r="E94" s="5" t="s">
        <v>286</v>
      </c>
      <c r="F94" s="4">
        <v>4</v>
      </c>
      <c r="G94" s="5" t="s">
        <v>666</v>
      </c>
      <c r="H94" s="3" t="s">
        <v>53</v>
      </c>
      <c r="I94" s="3" t="s">
        <v>73</v>
      </c>
      <c r="J94" s="96" t="s">
        <v>302</v>
      </c>
      <c r="K94" s="97" t="s">
        <v>302</v>
      </c>
      <c r="L94" s="91" t="s">
        <v>302</v>
      </c>
      <c r="M94" s="123"/>
      <c r="N94" s="123"/>
      <c r="O94" s="123"/>
      <c r="P94" s="123"/>
      <c r="Q94" s="126"/>
      <c r="R94" s="126"/>
      <c r="S94" s="126"/>
      <c r="T94" s="126"/>
      <c r="U94" s="126"/>
      <c r="V94" s="126"/>
      <c r="W94" s="127"/>
      <c r="X94" s="127"/>
      <c r="Y94" s="127"/>
      <c r="Z94" s="127"/>
      <c r="AA94" s="127"/>
      <c r="AB94" s="127"/>
      <c r="AC94" s="127"/>
      <c r="AD94" s="127"/>
      <c r="AE94" s="127"/>
      <c r="AF94" s="127"/>
      <c r="AG94" s="127"/>
      <c r="AH94" s="127"/>
      <c r="AI94" s="127"/>
      <c r="AJ94" s="127"/>
      <c r="AK94" s="127"/>
      <c r="AL94" s="127"/>
      <c r="AM94" s="127"/>
      <c r="AN94" s="127"/>
      <c r="AO94" s="127"/>
      <c r="AP94" s="127"/>
    </row>
    <row r="95" spans="1:42" ht="49.95" customHeight="1" x14ac:dyDescent="0.3">
      <c r="A95" s="95" t="s">
        <v>260</v>
      </c>
      <c r="B95" s="4" t="s">
        <v>11</v>
      </c>
      <c r="C95" s="95" t="s">
        <v>282</v>
      </c>
      <c r="D95" s="4" t="s">
        <v>44</v>
      </c>
      <c r="E95" s="5" t="s">
        <v>287</v>
      </c>
      <c r="F95" s="4">
        <v>1</v>
      </c>
      <c r="G95" s="5" t="s">
        <v>667</v>
      </c>
      <c r="H95" s="3" t="s">
        <v>55</v>
      </c>
      <c r="I95" s="3" t="s">
        <v>73</v>
      </c>
      <c r="J95" s="96" t="s">
        <v>300</v>
      </c>
      <c r="K95" s="97">
        <v>150</v>
      </c>
      <c r="L95" s="90">
        <f>K95*125</f>
        <v>18750</v>
      </c>
      <c r="M95" s="123"/>
      <c r="N95" s="122"/>
      <c r="O95" s="123"/>
      <c r="P95" s="123"/>
      <c r="Q95" s="123"/>
      <c r="R95" s="123"/>
      <c r="S95" s="123"/>
      <c r="T95" s="123"/>
      <c r="U95" s="123"/>
      <c r="V95" s="123"/>
      <c r="W95" s="124"/>
      <c r="X95" s="124"/>
      <c r="Y95" s="124"/>
      <c r="Z95" s="124"/>
      <c r="AA95" s="124"/>
      <c r="AB95" s="124"/>
      <c r="AC95" s="124"/>
      <c r="AD95" s="124"/>
      <c r="AE95" s="124"/>
      <c r="AF95" s="124"/>
      <c r="AG95" s="124"/>
      <c r="AH95" s="124"/>
      <c r="AI95" s="124"/>
      <c r="AJ95" s="124"/>
      <c r="AK95" s="124"/>
      <c r="AL95" s="124"/>
      <c r="AM95" s="124"/>
      <c r="AN95" s="124"/>
      <c r="AO95" s="124"/>
      <c r="AP95" s="124"/>
    </row>
    <row r="96" spans="1:42" ht="49.95" customHeight="1" x14ac:dyDescent="0.3">
      <c r="A96" s="95" t="s">
        <v>260</v>
      </c>
      <c r="B96" s="4" t="s">
        <v>11</v>
      </c>
      <c r="C96" s="95" t="s">
        <v>282</v>
      </c>
      <c r="D96" s="4" t="s">
        <v>44</v>
      </c>
      <c r="E96" s="5" t="s">
        <v>287</v>
      </c>
      <c r="F96" s="4">
        <v>2</v>
      </c>
      <c r="G96" s="5" t="s">
        <v>668</v>
      </c>
      <c r="H96" s="3" t="s">
        <v>55</v>
      </c>
      <c r="I96" s="3" t="s">
        <v>73</v>
      </c>
      <c r="J96" s="96" t="s">
        <v>686</v>
      </c>
      <c r="K96" s="97">
        <v>250</v>
      </c>
      <c r="L96" s="90">
        <f>K96*125</f>
        <v>31250</v>
      </c>
      <c r="M96" s="123"/>
      <c r="N96" s="122"/>
      <c r="O96" s="123"/>
      <c r="P96" s="123"/>
      <c r="Q96" s="123"/>
      <c r="R96" s="123"/>
      <c r="S96" s="123"/>
      <c r="T96" s="123"/>
      <c r="U96" s="123"/>
      <c r="V96" s="123"/>
      <c r="W96" s="124"/>
      <c r="X96" s="124"/>
      <c r="Y96" s="124"/>
      <c r="Z96" s="124"/>
      <c r="AA96" s="124"/>
      <c r="AB96" s="124"/>
      <c r="AC96" s="124"/>
      <c r="AD96" s="124"/>
      <c r="AE96" s="124"/>
      <c r="AF96" s="124"/>
      <c r="AG96" s="124"/>
      <c r="AH96" s="124"/>
      <c r="AI96" s="124"/>
      <c r="AJ96" s="124"/>
      <c r="AK96" s="124"/>
      <c r="AL96" s="124"/>
      <c r="AM96" s="124"/>
      <c r="AN96" s="124"/>
      <c r="AO96" s="124"/>
      <c r="AP96" s="124"/>
    </row>
    <row r="97" spans="1:42" ht="49.95" customHeight="1" x14ac:dyDescent="0.3">
      <c r="A97" s="95" t="s">
        <v>260</v>
      </c>
      <c r="B97" s="4" t="s">
        <v>11</v>
      </c>
      <c r="C97" s="95" t="s">
        <v>282</v>
      </c>
      <c r="D97" s="4" t="s">
        <v>44</v>
      </c>
      <c r="E97" s="5" t="s">
        <v>287</v>
      </c>
      <c r="F97" s="4">
        <v>3</v>
      </c>
      <c r="G97" s="5" t="s">
        <v>669</v>
      </c>
      <c r="H97" s="3" t="s">
        <v>55</v>
      </c>
      <c r="I97" s="3" t="s">
        <v>72</v>
      </c>
      <c r="J97" s="96" t="s">
        <v>725</v>
      </c>
      <c r="K97" s="97" t="s">
        <v>302</v>
      </c>
      <c r="L97" s="91">
        <f>600000*5</f>
        <v>3000000</v>
      </c>
      <c r="M97" s="123"/>
      <c r="N97" s="123"/>
      <c r="O97" s="122"/>
      <c r="P97" s="122"/>
      <c r="Q97" s="123"/>
      <c r="R97" s="123"/>
      <c r="S97" s="123"/>
      <c r="T97" s="123"/>
      <c r="U97" s="123"/>
      <c r="V97" s="123"/>
      <c r="W97" s="124"/>
      <c r="X97" s="124"/>
      <c r="Y97" s="124"/>
      <c r="Z97" s="124"/>
      <c r="AA97" s="124"/>
      <c r="AB97" s="124"/>
      <c r="AC97" s="124"/>
      <c r="AD97" s="124"/>
      <c r="AE97" s="124"/>
      <c r="AF97" s="124"/>
      <c r="AG97" s="124"/>
      <c r="AH97" s="124"/>
      <c r="AI97" s="124"/>
      <c r="AJ97" s="124"/>
      <c r="AK97" s="124"/>
      <c r="AL97" s="124"/>
      <c r="AM97" s="124"/>
      <c r="AN97" s="124"/>
      <c r="AO97" s="124"/>
      <c r="AP97" s="124"/>
    </row>
    <row r="98" spans="1:42" ht="49.95" customHeight="1" x14ac:dyDescent="0.3">
      <c r="A98" s="95" t="s">
        <v>260</v>
      </c>
      <c r="B98" s="4" t="s">
        <v>12</v>
      </c>
      <c r="C98" s="95" t="s">
        <v>288</v>
      </c>
      <c r="D98" s="4" t="s">
        <v>45</v>
      </c>
      <c r="E98" s="5" t="s">
        <v>289</v>
      </c>
      <c r="F98" s="4">
        <v>1</v>
      </c>
      <c r="G98" s="5" t="s">
        <v>670</v>
      </c>
      <c r="H98" s="3" t="s">
        <v>256</v>
      </c>
      <c r="I98" s="3" t="s">
        <v>73</v>
      </c>
      <c r="J98" s="96" t="s">
        <v>726</v>
      </c>
      <c r="K98" s="97" t="s">
        <v>302</v>
      </c>
      <c r="L98" s="90">
        <v>50000</v>
      </c>
      <c r="M98" s="122"/>
      <c r="N98" s="123"/>
      <c r="O98" s="123"/>
      <c r="P98" s="123"/>
      <c r="Q98" s="123"/>
      <c r="R98" s="123"/>
      <c r="S98" s="123"/>
      <c r="T98" s="123"/>
      <c r="U98" s="123"/>
      <c r="V98" s="123"/>
      <c r="W98" s="124"/>
      <c r="X98" s="124"/>
      <c r="Y98" s="124"/>
      <c r="Z98" s="124"/>
      <c r="AA98" s="124"/>
      <c r="AB98" s="124"/>
      <c r="AC98" s="124"/>
      <c r="AD98" s="124"/>
      <c r="AE98" s="124"/>
      <c r="AF98" s="124"/>
      <c r="AG98" s="124"/>
      <c r="AH98" s="124"/>
      <c r="AI98" s="124"/>
      <c r="AJ98" s="124"/>
      <c r="AK98" s="124"/>
      <c r="AL98" s="124"/>
      <c r="AM98" s="124"/>
      <c r="AN98" s="124"/>
      <c r="AO98" s="124"/>
      <c r="AP98" s="124"/>
    </row>
    <row r="99" spans="1:42" ht="49.95" customHeight="1" x14ac:dyDescent="0.3">
      <c r="A99" s="95" t="s">
        <v>260</v>
      </c>
      <c r="B99" s="4" t="s">
        <v>12</v>
      </c>
      <c r="C99" s="95" t="s">
        <v>288</v>
      </c>
      <c r="D99" s="4" t="s">
        <v>45</v>
      </c>
      <c r="E99" s="5" t="s">
        <v>289</v>
      </c>
      <c r="F99" s="4">
        <v>2</v>
      </c>
      <c r="G99" s="5" t="s">
        <v>671</v>
      </c>
      <c r="H99" s="3" t="s">
        <v>256</v>
      </c>
      <c r="I99" s="3" t="s">
        <v>73</v>
      </c>
      <c r="J99" s="96" t="s">
        <v>714</v>
      </c>
      <c r="K99" s="97">
        <v>480</v>
      </c>
      <c r="L99" s="90">
        <f>K99*125</f>
        <v>60000</v>
      </c>
      <c r="M99" s="123"/>
      <c r="N99" s="122"/>
      <c r="O99" s="123"/>
      <c r="P99" s="123"/>
      <c r="Q99" s="123"/>
      <c r="R99" s="123"/>
      <c r="S99" s="123"/>
      <c r="T99" s="123"/>
      <c r="U99" s="123"/>
      <c r="V99" s="123"/>
      <c r="W99" s="124"/>
      <c r="X99" s="124"/>
      <c r="Y99" s="124"/>
      <c r="Z99" s="124"/>
      <c r="AA99" s="124"/>
      <c r="AB99" s="124"/>
      <c r="AC99" s="124"/>
      <c r="AD99" s="124"/>
      <c r="AE99" s="124"/>
      <c r="AF99" s="124"/>
      <c r="AG99" s="124"/>
      <c r="AH99" s="124"/>
      <c r="AI99" s="124"/>
      <c r="AJ99" s="124"/>
      <c r="AK99" s="124"/>
      <c r="AL99" s="124"/>
      <c r="AM99" s="124"/>
      <c r="AN99" s="124"/>
      <c r="AO99" s="124"/>
      <c r="AP99" s="124"/>
    </row>
    <row r="100" spans="1:42" ht="49.95" customHeight="1" x14ac:dyDescent="0.3">
      <c r="A100" s="95" t="s">
        <v>260</v>
      </c>
      <c r="B100" s="4" t="s">
        <v>12</v>
      </c>
      <c r="C100" s="95" t="s">
        <v>288</v>
      </c>
      <c r="D100" s="4" t="s">
        <v>45</v>
      </c>
      <c r="E100" s="5" t="s">
        <v>289</v>
      </c>
      <c r="F100" s="4">
        <v>3</v>
      </c>
      <c r="G100" s="5" t="s">
        <v>672</v>
      </c>
      <c r="H100" s="3" t="s">
        <v>256</v>
      </c>
      <c r="I100" s="3" t="s">
        <v>73</v>
      </c>
      <c r="J100" s="96" t="s">
        <v>599</v>
      </c>
      <c r="K100" s="97">
        <v>960</v>
      </c>
      <c r="L100" s="90">
        <f>K100*125</f>
        <v>120000</v>
      </c>
      <c r="M100" s="123"/>
      <c r="N100" s="123"/>
      <c r="O100" s="122"/>
      <c r="P100" s="123"/>
      <c r="Q100" s="123"/>
      <c r="R100" s="123"/>
      <c r="S100" s="123"/>
      <c r="T100" s="123"/>
      <c r="U100" s="123"/>
      <c r="V100" s="123"/>
      <c r="W100" s="124"/>
      <c r="X100" s="124"/>
      <c r="Y100" s="124"/>
      <c r="Z100" s="124"/>
      <c r="AA100" s="124"/>
      <c r="AB100" s="124"/>
      <c r="AC100" s="124"/>
      <c r="AD100" s="124"/>
      <c r="AE100" s="124"/>
      <c r="AF100" s="124"/>
      <c r="AG100" s="124"/>
      <c r="AH100" s="124"/>
      <c r="AI100" s="124"/>
      <c r="AJ100" s="124"/>
      <c r="AK100" s="124"/>
      <c r="AL100" s="124"/>
      <c r="AM100" s="124"/>
      <c r="AN100" s="124"/>
      <c r="AO100" s="124"/>
      <c r="AP100" s="124"/>
    </row>
    <row r="101" spans="1:42" ht="49.95" customHeight="1" x14ac:dyDescent="0.3">
      <c r="A101" s="95" t="s">
        <v>260</v>
      </c>
      <c r="B101" s="4" t="s">
        <v>12</v>
      </c>
      <c r="C101" s="95" t="s">
        <v>288</v>
      </c>
      <c r="D101" s="4" t="s">
        <v>45</v>
      </c>
      <c r="E101" s="5" t="s">
        <v>289</v>
      </c>
      <c r="F101" s="4">
        <v>4</v>
      </c>
      <c r="G101" s="5" t="s">
        <v>673</v>
      </c>
      <c r="H101" s="3" t="s">
        <v>58</v>
      </c>
      <c r="I101" s="3" t="s">
        <v>73</v>
      </c>
      <c r="J101" s="96" t="s">
        <v>302</v>
      </c>
      <c r="K101" s="97" t="s">
        <v>302</v>
      </c>
      <c r="L101" s="90" t="s">
        <v>302</v>
      </c>
      <c r="M101" s="123"/>
      <c r="N101" s="123"/>
      <c r="O101" s="123"/>
      <c r="P101" s="122"/>
      <c r="Q101" s="122"/>
      <c r="R101" s="122"/>
      <c r="S101" s="122"/>
      <c r="T101" s="123"/>
      <c r="U101" s="123"/>
      <c r="V101" s="123"/>
      <c r="W101" s="124"/>
      <c r="X101" s="124"/>
      <c r="Y101" s="124"/>
      <c r="Z101" s="124"/>
      <c r="AA101" s="124"/>
      <c r="AB101" s="124"/>
      <c r="AC101" s="124"/>
      <c r="AD101" s="124"/>
      <c r="AE101" s="124"/>
      <c r="AF101" s="124"/>
      <c r="AG101" s="124"/>
      <c r="AH101" s="124"/>
      <c r="AI101" s="124"/>
      <c r="AJ101" s="124"/>
      <c r="AK101" s="124"/>
      <c r="AL101" s="124"/>
      <c r="AM101" s="124"/>
      <c r="AN101" s="124"/>
      <c r="AO101" s="124"/>
      <c r="AP101" s="124"/>
    </row>
    <row r="102" spans="1:42" ht="49.95" customHeight="1" x14ac:dyDescent="0.3">
      <c r="A102" s="95" t="s">
        <v>260</v>
      </c>
      <c r="B102" s="4" t="s">
        <v>12</v>
      </c>
      <c r="C102" s="95" t="s">
        <v>288</v>
      </c>
      <c r="D102" s="4" t="s">
        <v>46</v>
      </c>
      <c r="E102" s="5" t="s">
        <v>290</v>
      </c>
      <c r="F102" s="4">
        <v>1</v>
      </c>
      <c r="G102" s="5" t="s">
        <v>655</v>
      </c>
      <c r="H102" s="3" t="s">
        <v>256</v>
      </c>
      <c r="I102" s="3" t="s">
        <v>73</v>
      </c>
      <c r="J102" s="96" t="s">
        <v>300</v>
      </c>
      <c r="K102" s="97">
        <v>150</v>
      </c>
      <c r="L102" s="90">
        <f>K102*125</f>
        <v>18750</v>
      </c>
      <c r="M102" s="123"/>
      <c r="N102" s="122"/>
      <c r="O102" s="123"/>
      <c r="P102" s="123"/>
      <c r="Q102" s="123"/>
      <c r="R102" s="123"/>
      <c r="S102" s="123"/>
      <c r="T102" s="123"/>
      <c r="U102" s="123"/>
      <c r="V102" s="123"/>
      <c r="W102" s="124"/>
      <c r="X102" s="124"/>
      <c r="Y102" s="124"/>
      <c r="Z102" s="124"/>
      <c r="AA102" s="124"/>
      <c r="AB102" s="124"/>
      <c r="AC102" s="124"/>
      <c r="AD102" s="124"/>
      <c r="AE102" s="124"/>
      <c r="AF102" s="124"/>
      <c r="AG102" s="124"/>
      <c r="AH102" s="124"/>
      <c r="AI102" s="124"/>
      <c r="AJ102" s="124"/>
      <c r="AK102" s="124"/>
      <c r="AL102" s="124"/>
      <c r="AM102" s="124"/>
      <c r="AN102" s="124"/>
      <c r="AO102" s="124"/>
      <c r="AP102" s="124"/>
    </row>
    <row r="103" spans="1:42" ht="49.95" customHeight="1" x14ac:dyDescent="0.3">
      <c r="A103" s="95" t="s">
        <v>260</v>
      </c>
      <c r="B103" s="4" t="s">
        <v>12</v>
      </c>
      <c r="C103" s="95" t="s">
        <v>288</v>
      </c>
      <c r="D103" s="4" t="s">
        <v>46</v>
      </c>
      <c r="E103" s="5" t="s">
        <v>290</v>
      </c>
      <c r="F103" s="4">
        <v>2</v>
      </c>
      <c r="G103" s="5" t="s">
        <v>629</v>
      </c>
      <c r="H103" s="3" t="s">
        <v>256</v>
      </c>
      <c r="I103" s="3" t="s">
        <v>73</v>
      </c>
      <c r="J103" s="96" t="s">
        <v>686</v>
      </c>
      <c r="K103" s="97">
        <v>250</v>
      </c>
      <c r="L103" s="90">
        <f>K103*125</f>
        <v>31250</v>
      </c>
      <c r="M103" s="123"/>
      <c r="N103" s="122"/>
      <c r="O103" s="123"/>
      <c r="P103" s="123"/>
      <c r="Q103" s="123"/>
      <c r="R103" s="123"/>
      <c r="S103" s="123"/>
      <c r="T103" s="123"/>
      <c r="U103" s="123"/>
      <c r="V103" s="123"/>
      <c r="W103" s="124"/>
      <c r="X103" s="124"/>
      <c r="Y103" s="124"/>
      <c r="Z103" s="124"/>
      <c r="AA103" s="124"/>
      <c r="AB103" s="124"/>
      <c r="AC103" s="124"/>
      <c r="AD103" s="124"/>
      <c r="AE103" s="124"/>
      <c r="AF103" s="124"/>
      <c r="AG103" s="124"/>
      <c r="AH103" s="124"/>
      <c r="AI103" s="124"/>
      <c r="AJ103" s="124"/>
      <c r="AK103" s="124"/>
      <c r="AL103" s="124"/>
      <c r="AM103" s="124"/>
      <c r="AN103" s="124"/>
      <c r="AO103" s="124"/>
      <c r="AP103" s="124"/>
    </row>
    <row r="104" spans="1:42" ht="49.95" customHeight="1" x14ac:dyDescent="0.3">
      <c r="A104" s="95" t="s">
        <v>260</v>
      </c>
      <c r="B104" s="4" t="s">
        <v>12</v>
      </c>
      <c r="C104" s="95" t="s">
        <v>288</v>
      </c>
      <c r="D104" s="4" t="s">
        <v>46</v>
      </c>
      <c r="E104" s="5" t="s">
        <v>290</v>
      </c>
      <c r="F104" s="4">
        <v>3</v>
      </c>
      <c r="G104" s="5" t="s">
        <v>674</v>
      </c>
      <c r="H104" s="3" t="s">
        <v>256</v>
      </c>
      <c r="I104" s="3" t="s">
        <v>72</v>
      </c>
      <c r="J104" s="96" t="s">
        <v>727</v>
      </c>
      <c r="K104" s="97" t="s">
        <v>302</v>
      </c>
      <c r="L104" s="90">
        <f>16*560000</f>
        <v>8960000</v>
      </c>
      <c r="M104" s="123"/>
      <c r="N104" s="123"/>
      <c r="O104" s="122"/>
      <c r="P104" s="122"/>
      <c r="Q104" s="123"/>
      <c r="R104" s="123"/>
      <c r="S104" s="123"/>
      <c r="T104" s="123"/>
      <c r="U104" s="123"/>
      <c r="V104" s="123"/>
      <c r="W104" s="124"/>
      <c r="X104" s="124"/>
      <c r="Y104" s="124"/>
      <c r="Z104" s="124"/>
      <c r="AA104" s="124"/>
      <c r="AB104" s="124"/>
      <c r="AC104" s="124"/>
      <c r="AD104" s="124"/>
      <c r="AE104" s="124"/>
      <c r="AF104" s="124"/>
      <c r="AG104" s="124"/>
      <c r="AH104" s="124"/>
      <c r="AI104" s="124"/>
      <c r="AJ104" s="124"/>
      <c r="AK104" s="124"/>
      <c r="AL104" s="124"/>
      <c r="AM104" s="124"/>
      <c r="AN104" s="124"/>
      <c r="AO104" s="124"/>
      <c r="AP104" s="124"/>
    </row>
    <row r="105" spans="1:42" ht="49.95" customHeight="1" x14ac:dyDescent="0.3">
      <c r="A105" s="95" t="s">
        <v>260</v>
      </c>
      <c r="B105" s="4" t="s">
        <v>12</v>
      </c>
      <c r="C105" s="95" t="s">
        <v>288</v>
      </c>
      <c r="D105" s="4" t="s">
        <v>46</v>
      </c>
      <c r="E105" s="5" t="s">
        <v>290</v>
      </c>
      <c r="F105" s="4">
        <v>4</v>
      </c>
      <c r="G105" s="5" t="s">
        <v>656</v>
      </c>
      <c r="H105" s="3" t="s">
        <v>256</v>
      </c>
      <c r="I105" s="3" t="s">
        <v>73</v>
      </c>
      <c r="J105" s="96" t="s">
        <v>302</v>
      </c>
      <c r="K105" s="97" t="s">
        <v>302</v>
      </c>
      <c r="L105" s="90" t="s">
        <v>302</v>
      </c>
      <c r="M105" s="123"/>
      <c r="N105" s="123"/>
      <c r="O105" s="123"/>
      <c r="P105" s="123"/>
      <c r="Q105" s="126"/>
      <c r="R105" s="126"/>
      <c r="S105" s="126"/>
      <c r="T105" s="126"/>
      <c r="U105" s="126"/>
      <c r="V105" s="126"/>
      <c r="W105" s="127"/>
      <c r="X105" s="127"/>
      <c r="Y105" s="127"/>
      <c r="Z105" s="127"/>
      <c r="AA105" s="127"/>
      <c r="AB105" s="127"/>
      <c r="AC105" s="127"/>
      <c r="AD105" s="127"/>
      <c r="AE105" s="127"/>
      <c r="AF105" s="127"/>
      <c r="AG105" s="127"/>
      <c r="AH105" s="127"/>
      <c r="AI105" s="127"/>
      <c r="AJ105" s="127"/>
      <c r="AK105" s="127"/>
      <c r="AL105" s="127"/>
      <c r="AM105" s="127"/>
      <c r="AN105" s="127"/>
      <c r="AO105" s="127"/>
      <c r="AP105" s="127"/>
    </row>
    <row r="106" spans="1:42" ht="49.95" customHeight="1" x14ac:dyDescent="0.3">
      <c r="A106" s="95" t="s">
        <v>260</v>
      </c>
      <c r="B106" s="4" t="s">
        <v>12</v>
      </c>
      <c r="C106" s="95" t="s">
        <v>288</v>
      </c>
      <c r="D106" s="4" t="s">
        <v>47</v>
      </c>
      <c r="E106" s="5" t="s">
        <v>291</v>
      </c>
      <c r="F106" s="4">
        <v>1</v>
      </c>
      <c r="G106" s="5" t="s">
        <v>675</v>
      </c>
      <c r="H106" s="3" t="s">
        <v>64</v>
      </c>
      <c r="I106" s="3" t="s">
        <v>74</v>
      </c>
      <c r="J106" s="96" t="s">
        <v>950</v>
      </c>
      <c r="K106" s="97" t="s">
        <v>302</v>
      </c>
      <c r="L106" s="90">
        <v>2260000000</v>
      </c>
      <c r="M106" s="122"/>
      <c r="N106" s="122"/>
      <c r="O106" s="123"/>
      <c r="P106" s="123"/>
      <c r="Q106" s="123"/>
      <c r="R106" s="123"/>
      <c r="S106" s="123"/>
      <c r="T106" s="123"/>
      <c r="U106" s="123"/>
      <c r="V106" s="123"/>
      <c r="W106" s="124"/>
      <c r="X106" s="124"/>
      <c r="Y106" s="124"/>
      <c r="Z106" s="124"/>
      <c r="AA106" s="124"/>
      <c r="AB106" s="124"/>
      <c r="AC106" s="124"/>
      <c r="AD106" s="124"/>
      <c r="AE106" s="124"/>
      <c r="AF106" s="124"/>
      <c r="AG106" s="124"/>
      <c r="AH106" s="124"/>
      <c r="AI106" s="124"/>
      <c r="AJ106" s="124"/>
      <c r="AK106" s="124"/>
      <c r="AL106" s="124"/>
      <c r="AM106" s="124"/>
      <c r="AN106" s="124"/>
      <c r="AO106" s="124"/>
      <c r="AP106" s="124"/>
    </row>
    <row r="107" spans="1:42" ht="49.95" customHeight="1" x14ac:dyDescent="0.3">
      <c r="A107" s="95" t="s">
        <v>260</v>
      </c>
      <c r="B107" s="4" t="s">
        <v>12</v>
      </c>
      <c r="C107" s="95" t="s">
        <v>288</v>
      </c>
      <c r="D107" s="4" t="s">
        <v>47</v>
      </c>
      <c r="E107" s="5" t="s">
        <v>291</v>
      </c>
      <c r="F107" s="4">
        <v>2</v>
      </c>
      <c r="G107" s="5" t="s">
        <v>637</v>
      </c>
      <c r="H107" s="3" t="s">
        <v>64</v>
      </c>
      <c r="I107" s="3" t="s">
        <v>72</v>
      </c>
      <c r="J107" s="96" t="s">
        <v>302</v>
      </c>
      <c r="K107" s="97" t="s">
        <v>302</v>
      </c>
      <c r="L107" s="90" t="s">
        <v>302</v>
      </c>
      <c r="M107" s="122"/>
      <c r="N107" s="122"/>
      <c r="O107" s="122"/>
      <c r="P107" s="122"/>
      <c r="Q107" s="122"/>
      <c r="R107" s="122"/>
      <c r="S107" s="122"/>
      <c r="T107" s="122"/>
      <c r="U107" s="122"/>
      <c r="V107" s="122"/>
      <c r="W107" s="124"/>
      <c r="X107" s="124"/>
      <c r="Y107" s="124"/>
      <c r="Z107" s="124"/>
      <c r="AA107" s="124"/>
      <c r="AB107" s="124"/>
      <c r="AC107" s="124"/>
      <c r="AD107" s="124"/>
      <c r="AE107" s="124"/>
      <c r="AF107" s="124"/>
      <c r="AG107" s="124"/>
      <c r="AH107" s="124"/>
      <c r="AI107" s="124"/>
      <c r="AJ107" s="124"/>
      <c r="AK107" s="124"/>
      <c r="AL107" s="124"/>
      <c r="AM107" s="124"/>
      <c r="AN107" s="124"/>
      <c r="AO107" s="124"/>
      <c r="AP107" s="124"/>
    </row>
    <row r="108" spans="1:42" ht="49.95" customHeight="1" x14ac:dyDescent="0.3">
      <c r="A108" s="95" t="s">
        <v>260</v>
      </c>
      <c r="B108" s="4" t="s">
        <v>12</v>
      </c>
      <c r="C108" s="95" t="s">
        <v>288</v>
      </c>
      <c r="D108" s="4" t="s">
        <v>47</v>
      </c>
      <c r="E108" s="5" t="s">
        <v>291</v>
      </c>
      <c r="F108" s="4">
        <v>3</v>
      </c>
      <c r="G108" s="5" t="s">
        <v>638</v>
      </c>
      <c r="H108" s="3" t="s">
        <v>64</v>
      </c>
      <c r="I108" s="3" t="s">
        <v>72</v>
      </c>
      <c r="J108" s="96" t="s">
        <v>302</v>
      </c>
      <c r="K108" s="97" t="s">
        <v>302</v>
      </c>
      <c r="L108" s="90" t="s">
        <v>302</v>
      </c>
      <c r="M108" s="123"/>
      <c r="N108" s="122"/>
      <c r="O108" s="122"/>
      <c r="P108" s="122"/>
      <c r="Q108" s="122"/>
      <c r="R108" s="122"/>
      <c r="S108" s="122"/>
      <c r="T108" s="122"/>
      <c r="U108" s="122"/>
      <c r="V108" s="122"/>
      <c r="W108" s="125"/>
      <c r="X108" s="125"/>
      <c r="Y108" s="125"/>
      <c r="Z108" s="125"/>
      <c r="AA108" s="125"/>
      <c r="AB108" s="125"/>
      <c r="AC108" s="125"/>
      <c r="AD108" s="125"/>
      <c r="AE108" s="125"/>
      <c r="AF108" s="125"/>
      <c r="AG108" s="124"/>
      <c r="AH108" s="124"/>
      <c r="AI108" s="124"/>
      <c r="AJ108" s="124"/>
      <c r="AK108" s="124"/>
      <c r="AL108" s="124"/>
      <c r="AM108" s="124"/>
      <c r="AN108" s="124"/>
      <c r="AO108" s="124"/>
      <c r="AP108" s="124"/>
    </row>
    <row r="109" spans="1:42" ht="49.95" customHeight="1" x14ac:dyDescent="0.3">
      <c r="A109" s="95" t="s">
        <v>260</v>
      </c>
      <c r="B109" s="4" t="s">
        <v>12</v>
      </c>
      <c r="C109" s="95" t="s">
        <v>288</v>
      </c>
      <c r="D109" s="4" t="s">
        <v>47</v>
      </c>
      <c r="E109" s="5" t="s">
        <v>291</v>
      </c>
      <c r="F109" s="4">
        <v>4</v>
      </c>
      <c r="G109" s="5" t="s">
        <v>677</v>
      </c>
      <c r="H109" s="3" t="s">
        <v>64</v>
      </c>
      <c r="I109" s="3" t="s">
        <v>74</v>
      </c>
      <c r="J109" s="96" t="s">
        <v>302</v>
      </c>
      <c r="K109" s="97" t="s">
        <v>302</v>
      </c>
      <c r="L109" s="90" t="s">
        <v>302</v>
      </c>
      <c r="M109" s="123"/>
      <c r="N109" s="123"/>
      <c r="O109" s="123"/>
      <c r="P109" s="123"/>
      <c r="Q109" s="122"/>
      <c r="R109" s="122"/>
      <c r="S109" s="122"/>
      <c r="T109" s="122"/>
      <c r="U109" s="122"/>
      <c r="V109" s="122"/>
      <c r="W109" s="125"/>
      <c r="X109" s="125"/>
      <c r="Y109" s="125"/>
      <c r="Z109" s="125"/>
      <c r="AA109" s="125"/>
      <c r="AB109" s="125"/>
      <c r="AC109" s="125"/>
      <c r="AD109" s="125"/>
      <c r="AE109" s="125"/>
      <c r="AF109" s="125"/>
      <c r="AG109" s="125"/>
      <c r="AH109" s="125"/>
      <c r="AI109" s="125"/>
      <c r="AJ109" s="125"/>
      <c r="AK109" s="125"/>
      <c r="AL109" s="125"/>
      <c r="AM109" s="125"/>
      <c r="AN109" s="125"/>
      <c r="AO109" s="125"/>
      <c r="AP109" s="125"/>
    </row>
    <row r="110" spans="1:42" ht="49.95" customHeight="1" x14ac:dyDescent="0.3">
      <c r="A110" s="95" t="s">
        <v>260</v>
      </c>
      <c r="B110" s="4" t="s">
        <v>12</v>
      </c>
      <c r="C110" s="95" t="s">
        <v>288</v>
      </c>
      <c r="D110" s="4" t="s">
        <v>292</v>
      </c>
      <c r="E110" s="5" t="s">
        <v>294</v>
      </c>
      <c r="F110" s="4">
        <v>1</v>
      </c>
      <c r="G110" s="5" t="s">
        <v>678</v>
      </c>
      <c r="H110" s="3" t="s">
        <v>256</v>
      </c>
      <c r="I110" s="3" t="s">
        <v>73</v>
      </c>
      <c r="J110" s="96" t="s">
        <v>300</v>
      </c>
      <c r="K110" s="97">
        <v>150</v>
      </c>
      <c r="L110" s="90">
        <f>K110*125</f>
        <v>18750</v>
      </c>
      <c r="M110" s="122"/>
      <c r="N110" s="123"/>
      <c r="O110" s="123"/>
      <c r="P110" s="123"/>
      <c r="Q110" s="123"/>
      <c r="R110" s="123"/>
      <c r="S110" s="123"/>
      <c r="T110" s="123"/>
      <c r="U110" s="123"/>
      <c r="V110" s="123"/>
      <c r="W110" s="124"/>
      <c r="X110" s="124"/>
      <c r="Y110" s="124"/>
      <c r="Z110" s="124"/>
      <c r="AA110" s="124"/>
      <c r="AB110" s="124"/>
      <c r="AC110" s="124"/>
      <c r="AD110" s="124"/>
      <c r="AE110" s="124"/>
      <c r="AF110" s="124"/>
      <c r="AG110" s="124"/>
      <c r="AH110" s="124"/>
      <c r="AI110" s="124"/>
      <c r="AJ110" s="124"/>
      <c r="AK110" s="124"/>
      <c r="AL110" s="124"/>
      <c r="AM110" s="124"/>
      <c r="AN110" s="124"/>
      <c r="AO110" s="124"/>
      <c r="AP110" s="124"/>
    </row>
    <row r="111" spans="1:42" ht="49.95" customHeight="1" x14ac:dyDescent="0.3">
      <c r="A111" s="95" t="s">
        <v>260</v>
      </c>
      <c r="B111" s="4" t="s">
        <v>12</v>
      </c>
      <c r="C111" s="95" t="s">
        <v>288</v>
      </c>
      <c r="D111" s="4" t="s">
        <v>292</v>
      </c>
      <c r="E111" s="5" t="s">
        <v>294</v>
      </c>
      <c r="F111" s="4">
        <v>2</v>
      </c>
      <c r="G111" s="5" t="s">
        <v>629</v>
      </c>
      <c r="H111" s="3" t="s">
        <v>256</v>
      </c>
      <c r="I111" s="3" t="s">
        <v>73</v>
      </c>
      <c r="J111" s="96" t="s">
        <v>686</v>
      </c>
      <c r="K111" s="97">
        <v>250</v>
      </c>
      <c r="L111" s="90">
        <f>K111*125</f>
        <v>31250</v>
      </c>
      <c r="M111" s="122"/>
      <c r="N111" s="123"/>
      <c r="O111" s="123"/>
      <c r="P111" s="123"/>
      <c r="Q111" s="123"/>
      <c r="R111" s="123"/>
      <c r="S111" s="123"/>
      <c r="T111" s="123"/>
      <c r="U111" s="123"/>
      <c r="V111" s="123"/>
      <c r="W111" s="124"/>
      <c r="X111" s="124"/>
      <c r="Y111" s="124"/>
      <c r="Z111" s="124"/>
      <c r="AA111" s="124"/>
      <c r="AB111" s="124"/>
      <c r="AC111" s="124"/>
      <c r="AD111" s="124"/>
      <c r="AE111" s="124"/>
      <c r="AF111" s="124"/>
      <c r="AG111" s="124"/>
      <c r="AH111" s="124"/>
      <c r="AI111" s="124"/>
      <c r="AJ111" s="124"/>
      <c r="AK111" s="124"/>
      <c r="AL111" s="124"/>
      <c r="AM111" s="124"/>
      <c r="AN111" s="124"/>
      <c r="AO111" s="124"/>
      <c r="AP111" s="124"/>
    </row>
    <row r="112" spans="1:42" ht="49.95" customHeight="1" x14ac:dyDescent="0.3">
      <c r="A112" s="95" t="s">
        <v>260</v>
      </c>
      <c r="B112" s="4" t="s">
        <v>12</v>
      </c>
      <c r="C112" s="95" t="s">
        <v>288</v>
      </c>
      <c r="D112" s="4" t="s">
        <v>292</v>
      </c>
      <c r="E112" s="5" t="s">
        <v>294</v>
      </c>
      <c r="F112" s="4">
        <v>3</v>
      </c>
      <c r="G112" s="5" t="s">
        <v>294</v>
      </c>
      <c r="H112" s="3" t="s">
        <v>256</v>
      </c>
      <c r="I112" s="3" t="s">
        <v>72</v>
      </c>
      <c r="J112" s="96" t="s">
        <v>729</v>
      </c>
      <c r="K112" s="97" t="s">
        <v>302</v>
      </c>
      <c r="L112" s="90">
        <v>1926352</v>
      </c>
      <c r="M112" s="123"/>
      <c r="N112" s="122"/>
      <c r="O112" s="122"/>
      <c r="P112" s="123"/>
      <c r="Q112" s="123"/>
      <c r="R112" s="123"/>
      <c r="S112" s="123"/>
      <c r="T112" s="123"/>
      <c r="U112" s="123"/>
      <c r="V112" s="123"/>
      <c r="W112" s="124"/>
      <c r="X112" s="124"/>
      <c r="Y112" s="124"/>
      <c r="Z112" s="124"/>
      <c r="AA112" s="124"/>
      <c r="AB112" s="124"/>
      <c r="AC112" s="124"/>
      <c r="AD112" s="124"/>
      <c r="AE112" s="124"/>
      <c r="AF112" s="124"/>
      <c r="AG112" s="124"/>
      <c r="AH112" s="124"/>
      <c r="AI112" s="124"/>
      <c r="AJ112" s="124"/>
      <c r="AK112" s="124"/>
      <c r="AL112" s="124"/>
      <c r="AM112" s="124"/>
      <c r="AN112" s="124"/>
      <c r="AO112" s="124"/>
      <c r="AP112" s="124"/>
    </row>
    <row r="113" spans="1:42" ht="49.95" customHeight="1" x14ac:dyDescent="0.3">
      <c r="A113" s="95" t="s">
        <v>260</v>
      </c>
      <c r="B113" s="4" t="s">
        <v>12</v>
      </c>
      <c r="C113" s="95" t="s">
        <v>288</v>
      </c>
      <c r="D113" s="4" t="s">
        <v>292</v>
      </c>
      <c r="E113" s="5" t="s">
        <v>294</v>
      </c>
      <c r="F113" s="4">
        <v>4</v>
      </c>
      <c r="G113" s="5" t="s">
        <v>646</v>
      </c>
      <c r="H113" s="3" t="s">
        <v>256</v>
      </c>
      <c r="I113" s="3" t="s">
        <v>73</v>
      </c>
      <c r="J113" s="96" t="s">
        <v>302</v>
      </c>
      <c r="K113" s="97" t="s">
        <v>302</v>
      </c>
      <c r="L113" s="91" t="s">
        <v>302</v>
      </c>
      <c r="M113" s="123"/>
      <c r="N113" s="123"/>
      <c r="O113" s="122"/>
      <c r="P113" s="126"/>
      <c r="Q113" s="126"/>
      <c r="R113" s="126"/>
      <c r="S113" s="126"/>
      <c r="T113" s="126"/>
      <c r="U113" s="126"/>
      <c r="V113" s="126"/>
      <c r="W113" s="127"/>
      <c r="X113" s="127"/>
      <c r="Y113" s="127"/>
      <c r="Z113" s="127"/>
      <c r="AA113" s="127"/>
      <c r="AB113" s="127"/>
      <c r="AC113" s="127"/>
      <c r="AD113" s="127"/>
      <c r="AE113" s="127"/>
      <c r="AF113" s="127"/>
      <c r="AG113" s="127"/>
      <c r="AH113" s="127"/>
      <c r="AI113" s="127"/>
      <c r="AJ113" s="127"/>
      <c r="AK113" s="127"/>
      <c r="AL113" s="127"/>
      <c r="AM113" s="127"/>
      <c r="AN113" s="127"/>
      <c r="AO113" s="127"/>
      <c r="AP113" s="127"/>
    </row>
    <row r="114" spans="1:42" ht="49.95" customHeight="1" x14ac:dyDescent="0.3">
      <c r="A114" s="95" t="s">
        <v>260</v>
      </c>
      <c r="B114" s="4" t="s">
        <v>13</v>
      </c>
      <c r="C114" s="95" t="s">
        <v>14</v>
      </c>
      <c r="D114" s="4" t="s">
        <v>49</v>
      </c>
      <c r="E114" s="5" t="s">
        <v>48</v>
      </c>
      <c r="F114" s="4">
        <v>1</v>
      </c>
      <c r="G114" s="5" t="s">
        <v>679</v>
      </c>
      <c r="H114" s="3" t="s">
        <v>54</v>
      </c>
      <c r="I114" s="3" t="s">
        <v>73</v>
      </c>
      <c r="J114" s="96" t="s">
        <v>591</v>
      </c>
      <c r="K114" s="97">
        <v>320</v>
      </c>
      <c r="L114" s="90">
        <f>K114*125</f>
        <v>40000</v>
      </c>
      <c r="M114" s="122"/>
      <c r="N114" s="123"/>
      <c r="O114" s="123"/>
      <c r="P114" s="123"/>
      <c r="Q114" s="123"/>
      <c r="R114" s="123"/>
      <c r="S114" s="123"/>
      <c r="T114" s="123"/>
      <c r="U114" s="123"/>
      <c r="V114" s="123"/>
      <c r="W114" s="124"/>
      <c r="X114" s="124"/>
      <c r="Y114" s="124"/>
      <c r="Z114" s="124"/>
      <c r="AA114" s="124"/>
      <c r="AB114" s="124"/>
      <c r="AC114" s="124"/>
      <c r="AD114" s="124"/>
      <c r="AE114" s="124"/>
      <c r="AF114" s="124"/>
      <c r="AG114" s="124"/>
      <c r="AH114" s="124"/>
      <c r="AI114" s="124"/>
      <c r="AJ114" s="124"/>
      <c r="AK114" s="124"/>
      <c r="AL114" s="124"/>
      <c r="AM114" s="124"/>
      <c r="AN114" s="124"/>
      <c r="AO114" s="124"/>
      <c r="AP114" s="124"/>
    </row>
    <row r="115" spans="1:42" ht="49.95" customHeight="1" x14ac:dyDescent="0.3">
      <c r="A115" s="95" t="s">
        <v>260</v>
      </c>
      <c r="B115" s="4" t="s">
        <v>13</v>
      </c>
      <c r="C115" s="95" t="s">
        <v>14</v>
      </c>
      <c r="D115" s="4" t="s">
        <v>49</v>
      </c>
      <c r="E115" s="5" t="s">
        <v>48</v>
      </c>
      <c r="F115" s="4">
        <v>2</v>
      </c>
      <c r="G115" s="5" t="s">
        <v>680</v>
      </c>
      <c r="H115" s="3" t="s">
        <v>54</v>
      </c>
      <c r="I115" s="3" t="s">
        <v>73</v>
      </c>
      <c r="J115" s="96" t="s">
        <v>733</v>
      </c>
      <c r="K115" s="97">
        <v>1600</v>
      </c>
      <c r="L115" s="90">
        <f>K115*125</f>
        <v>200000</v>
      </c>
      <c r="M115" s="122"/>
      <c r="N115" s="123"/>
      <c r="O115" s="123"/>
      <c r="P115" s="123"/>
      <c r="Q115" s="123"/>
      <c r="R115" s="123"/>
      <c r="S115" s="123"/>
      <c r="T115" s="123"/>
      <c r="U115" s="123"/>
      <c r="V115" s="123"/>
      <c r="W115" s="124"/>
      <c r="X115" s="124"/>
      <c r="Y115" s="124"/>
      <c r="Z115" s="124"/>
      <c r="AA115" s="124"/>
      <c r="AB115" s="124"/>
      <c r="AC115" s="124"/>
      <c r="AD115" s="124"/>
      <c r="AE115" s="124"/>
      <c r="AF115" s="124"/>
      <c r="AG115" s="124"/>
      <c r="AH115" s="124"/>
      <c r="AI115" s="124"/>
      <c r="AJ115" s="124"/>
      <c r="AK115" s="124"/>
      <c r="AL115" s="124"/>
      <c r="AM115" s="124"/>
      <c r="AN115" s="124"/>
      <c r="AO115" s="124"/>
      <c r="AP115" s="124"/>
    </row>
    <row r="116" spans="1:42" ht="49.95" customHeight="1" x14ac:dyDescent="0.3">
      <c r="A116" s="95" t="s">
        <v>260</v>
      </c>
      <c r="B116" s="4" t="s">
        <v>13</v>
      </c>
      <c r="C116" s="95" t="s">
        <v>14</v>
      </c>
      <c r="D116" s="4" t="s">
        <v>49</v>
      </c>
      <c r="E116" s="5" t="s">
        <v>48</v>
      </c>
      <c r="F116" s="4">
        <v>3</v>
      </c>
      <c r="G116" s="5" t="s">
        <v>48</v>
      </c>
      <c r="H116" s="3" t="s">
        <v>54</v>
      </c>
      <c r="I116" s="3" t="s">
        <v>73</v>
      </c>
      <c r="J116" s="96" t="s">
        <v>730</v>
      </c>
      <c r="K116" s="97">
        <v>600</v>
      </c>
      <c r="L116" s="90">
        <f>K116*125</f>
        <v>75000</v>
      </c>
      <c r="M116" s="123"/>
      <c r="N116" s="122"/>
      <c r="O116" s="122"/>
      <c r="P116" s="123"/>
      <c r="Q116" s="123"/>
      <c r="R116" s="123"/>
      <c r="S116" s="123"/>
      <c r="T116" s="123"/>
      <c r="U116" s="123"/>
      <c r="V116" s="123"/>
      <c r="W116" s="124"/>
      <c r="X116" s="124"/>
      <c r="Y116" s="124"/>
      <c r="Z116" s="124"/>
      <c r="AA116" s="124"/>
      <c r="AB116" s="124"/>
      <c r="AC116" s="124"/>
      <c r="AD116" s="124"/>
      <c r="AE116" s="124"/>
      <c r="AF116" s="124"/>
      <c r="AG116" s="124"/>
      <c r="AH116" s="124"/>
      <c r="AI116" s="124"/>
      <c r="AJ116" s="124"/>
      <c r="AK116" s="124"/>
      <c r="AL116" s="124"/>
      <c r="AM116" s="124"/>
      <c r="AN116" s="124"/>
      <c r="AO116" s="124"/>
      <c r="AP116" s="124"/>
    </row>
    <row r="117" spans="1:42" ht="49.95" customHeight="1" x14ac:dyDescent="0.3">
      <c r="A117" s="95" t="s">
        <v>260</v>
      </c>
      <c r="B117" s="4" t="s">
        <v>13</v>
      </c>
      <c r="C117" s="95" t="s">
        <v>14</v>
      </c>
      <c r="D117" s="4" t="s">
        <v>50</v>
      </c>
      <c r="E117" s="5" t="s">
        <v>63</v>
      </c>
      <c r="F117" s="4">
        <v>1</v>
      </c>
      <c r="G117" s="5" t="s">
        <v>681</v>
      </c>
      <c r="H117" s="3" t="s">
        <v>54</v>
      </c>
      <c r="I117" s="3" t="s">
        <v>72</v>
      </c>
      <c r="J117" s="96" t="s">
        <v>731</v>
      </c>
      <c r="K117" s="97" t="s">
        <v>302</v>
      </c>
      <c r="L117" s="90">
        <f>960*10*125</f>
        <v>1200000</v>
      </c>
      <c r="M117" s="122"/>
      <c r="N117" s="122"/>
      <c r="O117" s="123"/>
      <c r="P117" s="123"/>
      <c r="Q117" s="123"/>
      <c r="R117" s="123"/>
      <c r="S117" s="123"/>
      <c r="T117" s="123"/>
      <c r="U117" s="123"/>
      <c r="V117" s="123"/>
      <c r="W117" s="124"/>
      <c r="X117" s="124"/>
      <c r="Y117" s="124"/>
      <c r="Z117" s="124"/>
      <c r="AA117" s="124"/>
      <c r="AB117" s="124"/>
      <c r="AC117" s="124"/>
      <c r="AD117" s="124"/>
      <c r="AE117" s="124"/>
      <c r="AF117" s="124"/>
      <c r="AG117" s="124"/>
      <c r="AH117" s="124"/>
      <c r="AI117" s="124"/>
      <c r="AJ117" s="124"/>
      <c r="AK117" s="124"/>
      <c r="AL117" s="124"/>
      <c r="AM117" s="124"/>
      <c r="AN117" s="124"/>
      <c r="AO117" s="124"/>
      <c r="AP117" s="124"/>
    </row>
    <row r="118" spans="1:42" ht="49.95" customHeight="1" x14ac:dyDescent="0.3">
      <c r="A118" s="95" t="s">
        <v>260</v>
      </c>
      <c r="B118" s="4" t="s">
        <v>13</v>
      </c>
      <c r="C118" s="95" t="s">
        <v>14</v>
      </c>
      <c r="D118" s="4" t="s">
        <v>50</v>
      </c>
      <c r="E118" s="5" t="s">
        <v>63</v>
      </c>
      <c r="F118" s="4">
        <v>2</v>
      </c>
      <c r="G118" s="5" t="s">
        <v>682</v>
      </c>
      <c r="H118" s="3" t="s">
        <v>54</v>
      </c>
      <c r="I118" s="3" t="s">
        <v>73</v>
      </c>
      <c r="J118" s="96" t="s">
        <v>302</v>
      </c>
      <c r="K118" s="97" t="s">
        <v>302</v>
      </c>
      <c r="L118" s="90" t="s">
        <v>302</v>
      </c>
      <c r="M118" s="123"/>
      <c r="N118" s="123"/>
      <c r="O118" s="122"/>
      <c r="P118" s="122"/>
      <c r="Q118" s="122"/>
      <c r="R118" s="122"/>
      <c r="S118" s="122"/>
      <c r="T118" s="122"/>
      <c r="U118" s="122"/>
      <c r="V118" s="122"/>
      <c r="W118" s="125"/>
      <c r="X118" s="125"/>
      <c r="Y118" s="125"/>
      <c r="Z118" s="125"/>
      <c r="AA118" s="125"/>
      <c r="AB118" s="125"/>
      <c r="AC118" s="125"/>
      <c r="AD118" s="125"/>
      <c r="AE118" s="125"/>
      <c r="AF118" s="125"/>
      <c r="AG118" s="125"/>
      <c r="AH118" s="125"/>
      <c r="AI118" s="125"/>
      <c r="AJ118" s="125"/>
      <c r="AK118" s="125"/>
      <c r="AL118" s="125"/>
      <c r="AM118" s="125"/>
      <c r="AN118" s="125"/>
      <c r="AO118" s="125"/>
      <c r="AP118" s="125"/>
    </row>
    <row r="119" spans="1:42" ht="49.95" customHeight="1" x14ac:dyDescent="0.3">
      <c r="A119" s="95" t="s">
        <v>260</v>
      </c>
      <c r="B119" s="4" t="s">
        <v>13</v>
      </c>
      <c r="C119" s="95" t="s">
        <v>14</v>
      </c>
      <c r="D119" s="4" t="s">
        <v>51</v>
      </c>
      <c r="E119" s="5" t="s">
        <v>61</v>
      </c>
      <c r="F119" s="4">
        <v>1</v>
      </c>
      <c r="G119" s="5" t="s">
        <v>683</v>
      </c>
      <c r="H119" s="3" t="s">
        <v>54</v>
      </c>
      <c r="I119" s="3" t="s">
        <v>73</v>
      </c>
      <c r="J119" s="96" t="s">
        <v>732</v>
      </c>
      <c r="K119" s="97">
        <v>800</v>
      </c>
      <c r="L119" s="90">
        <f>K119*125</f>
        <v>100000</v>
      </c>
      <c r="M119" s="122"/>
      <c r="N119" s="123"/>
      <c r="O119" s="123"/>
      <c r="P119" s="123"/>
      <c r="Q119" s="123"/>
      <c r="R119" s="123"/>
      <c r="S119" s="123"/>
      <c r="T119" s="123"/>
      <c r="U119" s="123"/>
      <c r="V119" s="123"/>
      <c r="W119" s="124"/>
      <c r="X119" s="124"/>
      <c r="Y119" s="124"/>
      <c r="Z119" s="124"/>
      <c r="AA119" s="124"/>
      <c r="AB119" s="124"/>
      <c r="AC119" s="124"/>
      <c r="AD119" s="124"/>
      <c r="AE119" s="124"/>
      <c r="AF119" s="124"/>
      <c r="AG119" s="124"/>
      <c r="AH119" s="124"/>
      <c r="AI119" s="124"/>
      <c r="AJ119" s="124"/>
      <c r="AK119" s="124"/>
      <c r="AL119" s="124"/>
      <c r="AM119" s="124"/>
      <c r="AN119" s="124"/>
      <c r="AO119" s="124"/>
      <c r="AP119" s="124"/>
    </row>
    <row r="120" spans="1:42" ht="49.95" customHeight="1" x14ac:dyDescent="0.3">
      <c r="A120" s="95" t="s">
        <v>260</v>
      </c>
      <c r="B120" s="4" t="s">
        <v>13</v>
      </c>
      <c r="C120" s="95" t="s">
        <v>14</v>
      </c>
      <c r="D120" s="4" t="s">
        <v>51</v>
      </c>
      <c r="E120" s="5" t="s">
        <v>61</v>
      </c>
      <c r="F120" s="4">
        <v>2</v>
      </c>
      <c r="G120" s="5" t="s">
        <v>685</v>
      </c>
      <c r="H120" s="3" t="s">
        <v>54</v>
      </c>
      <c r="I120" s="3" t="s">
        <v>73</v>
      </c>
      <c r="J120" s="96" t="s">
        <v>730</v>
      </c>
      <c r="K120" s="97">
        <v>600</v>
      </c>
      <c r="L120" s="90">
        <f>K120*125</f>
        <v>75000</v>
      </c>
      <c r="M120" s="123"/>
      <c r="N120" s="122"/>
      <c r="O120" s="123"/>
      <c r="P120" s="123"/>
      <c r="Q120" s="123"/>
      <c r="R120" s="123"/>
      <c r="S120" s="123"/>
      <c r="T120" s="123"/>
      <c r="U120" s="123"/>
      <c r="V120" s="123"/>
      <c r="W120" s="124"/>
      <c r="X120" s="124"/>
      <c r="Y120" s="124"/>
      <c r="Z120" s="124"/>
      <c r="AA120" s="124"/>
      <c r="AB120" s="124"/>
      <c r="AC120" s="124"/>
      <c r="AD120" s="124"/>
      <c r="AE120" s="124"/>
      <c r="AF120" s="124"/>
      <c r="AG120" s="124"/>
      <c r="AH120" s="124"/>
      <c r="AI120" s="124"/>
      <c r="AJ120" s="124"/>
      <c r="AK120" s="124"/>
      <c r="AL120" s="124"/>
      <c r="AM120" s="124"/>
      <c r="AN120" s="124"/>
      <c r="AO120" s="124"/>
      <c r="AP120" s="124"/>
    </row>
    <row r="121" spans="1:42" ht="49.95" customHeight="1" x14ac:dyDescent="0.3">
      <c r="A121" s="95" t="s">
        <v>260</v>
      </c>
      <c r="B121" s="4" t="s">
        <v>13</v>
      </c>
      <c r="C121" s="95" t="s">
        <v>14</v>
      </c>
      <c r="D121" s="4" t="s">
        <v>51</v>
      </c>
      <c r="E121" s="5" t="s">
        <v>61</v>
      </c>
      <c r="F121" s="4">
        <v>3</v>
      </c>
      <c r="G121" s="5" t="s">
        <v>684</v>
      </c>
      <c r="H121" s="3" t="s">
        <v>54</v>
      </c>
      <c r="I121" s="3" t="s">
        <v>73</v>
      </c>
      <c r="J121" s="96" t="s">
        <v>302</v>
      </c>
      <c r="K121" s="97" t="s">
        <v>302</v>
      </c>
      <c r="L121" s="90" t="s">
        <v>302</v>
      </c>
      <c r="M121" s="123"/>
      <c r="N121" s="122"/>
      <c r="O121" s="122"/>
      <c r="P121" s="122"/>
      <c r="Q121" s="122"/>
      <c r="R121" s="122"/>
      <c r="S121" s="122"/>
      <c r="T121" s="122"/>
      <c r="U121" s="122"/>
      <c r="V121" s="122"/>
      <c r="W121" s="125"/>
      <c r="X121" s="125"/>
      <c r="Y121" s="125"/>
      <c r="Z121" s="125"/>
      <c r="AA121" s="125"/>
      <c r="AB121" s="125"/>
      <c r="AC121" s="125"/>
      <c r="AD121" s="125"/>
      <c r="AE121" s="125"/>
      <c r="AF121" s="125"/>
      <c r="AG121" s="125"/>
      <c r="AH121" s="125"/>
      <c r="AI121" s="125"/>
      <c r="AJ121" s="125"/>
      <c r="AK121" s="125"/>
      <c r="AL121" s="125"/>
      <c r="AM121" s="125"/>
      <c r="AN121" s="125"/>
      <c r="AO121" s="125"/>
      <c r="AP121" s="125"/>
    </row>
  </sheetData>
  <autoFilter ref="A1:AP121" xr:uid="{8A962FB3-566A-42EF-9589-F43EBD8F3237}"/>
  <phoneticPr fontId="3" type="noConversion"/>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4436B-605C-4212-806E-76711DC9C842}">
  <dimension ref="A1:N72"/>
  <sheetViews>
    <sheetView workbookViewId="0">
      <selection activeCell="E59" sqref="E59"/>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613</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612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12*80</f>
        <v>960</v>
      </c>
      <c r="D10" s="18">
        <v>118.66</v>
      </c>
      <c r="E10" s="19">
        <f>D10*C10</f>
        <v>113913.59999999999</v>
      </c>
      <c r="F10" s="6"/>
      <c r="G10" s="13" t="s">
        <v>98</v>
      </c>
      <c r="H10" s="11">
        <v>24.75</v>
      </c>
      <c r="I10" s="6"/>
      <c r="J10" s="6"/>
      <c r="K10" s="6"/>
      <c r="L10" s="6"/>
      <c r="M10" s="6"/>
      <c r="N10" s="6"/>
    </row>
    <row r="11" spans="1:14" ht="15" thickBot="1" x14ac:dyDescent="0.35">
      <c r="A11" s="6"/>
      <c r="B11" s="15" t="s">
        <v>99</v>
      </c>
      <c r="C11" s="18">
        <f>12*80</f>
        <v>960</v>
      </c>
      <c r="D11" s="20">
        <v>83.05</v>
      </c>
      <c r="E11" s="19">
        <f>D11*C11</f>
        <v>79728</v>
      </c>
      <c r="F11" s="6"/>
      <c r="G11" s="6"/>
      <c r="H11" s="21"/>
      <c r="I11" s="6"/>
      <c r="J11" s="6"/>
      <c r="K11" s="6"/>
      <c r="L11" s="6"/>
      <c r="M11" s="6"/>
      <c r="N11" s="6"/>
    </row>
    <row r="12" spans="1:14" ht="15" thickBot="1" x14ac:dyDescent="0.35">
      <c r="A12" s="6"/>
      <c r="B12" s="13" t="s">
        <v>100</v>
      </c>
      <c r="C12" s="18">
        <f>12*160</f>
        <v>1920</v>
      </c>
      <c r="D12" s="20">
        <v>69.42</v>
      </c>
      <c r="E12" s="19">
        <f>D12*C12</f>
        <v>133286.39999999999</v>
      </c>
      <c r="F12" s="6"/>
      <c r="G12" s="6"/>
      <c r="H12" s="6"/>
      <c r="I12" s="6"/>
      <c r="J12" s="6"/>
      <c r="K12" s="6"/>
      <c r="L12" s="6"/>
      <c r="M12" s="6"/>
      <c r="N12" s="6"/>
    </row>
    <row r="13" spans="1:14" ht="15" thickBot="1" x14ac:dyDescent="0.35">
      <c r="A13" s="6"/>
      <c r="B13" s="15" t="s">
        <v>101</v>
      </c>
      <c r="C13" s="18">
        <f>12*160</f>
        <v>1920</v>
      </c>
      <c r="D13" s="20">
        <v>40.56</v>
      </c>
      <c r="E13" s="19">
        <f>D13*C13</f>
        <v>77875.200000000012</v>
      </c>
      <c r="F13" s="6"/>
      <c r="G13" s="227" t="s">
        <v>102</v>
      </c>
      <c r="H13" s="228"/>
      <c r="I13" s="229"/>
      <c r="J13" s="11" t="s">
        <v>103</v>
      </c>
      <c r="K13" s="6"/>
      <c r="L13" s="6"/>
      <c r="M13" s="6"/>
      <c r="N13" s="6"/>
    </row>
    <row r="14" spans="1:14" ht="15" thickBot="1" x14ac:dyDescent="0.35">
      <c r="A14" s="6"/>
      <c r="B14" s="15" t="s">
        <v>104</v>
      </c>
      <c r="C14" s="18">
        <f>12*160</f>
        <v>1920</v>
      </c>
      <c r="D14" s="20">
        <v>31.5</v>
      </c>
      <c r="E14" s="19">
        <f>D14*C14</f>
        <v>60480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465283.2</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35">
        <v>30</v>
      </c>
      <c r="D25" s="36">
        <v>150</v>
      </c>
      <c r="E25" s="19">
        <f>C25*D25</f>
        <v>4500</v>
      </c>
      <c r="F25" s="6"/>
      <c r="G25" s="8" t="s">
        <v>125</v>
      </c>
      <c r="H25" s="6"/>
      <c r="I25" s="6"/>
      <c r="J25" s="6"/>
      <c r="K25" s="6"/>
      <c r="L25" s="6"/>
      <c r="M25" s="6"/>
      <c r="N25" s="6"/>
    </row>
    <row r="26" spans="1:14" ht="15" thickBot="1" x14ac:dyDescent="0.35">
      <c r="A26" s="6"/>
      <c r="B26" s="34" t="s">
        <v>126</v>
      </c>
      <c r="C26" s="35">
        <v>30</v>
      </c>
      <c r="D26" s="36">
        <v>150</v>
      </c>
      <c r="E26" s="19">
        <f>C26*D26</f>
        <v>4500</v>
      </c>
      <c r="F26" s="6"/>
      <c r="G26" s="37" t="s">
        <v>127</v>
      </c>
      <c r="H26" s="38"/>
      <c r="I26" s="38"/>
      <c r="J26" s="39"/>
      <c r="K26" s="40"/>
      <c r="L26" s="6"/>
      <c r="M26" s="6"/>
      <c r="N26" s="6"/>
    </row>
    <row r="27" spans="1:14" ht="15" thickBot="1" x14ac:dyDescent="0.35">
      <c r="A27" s="6"/>
      <c r="B27" s="34" t="s">
        <v>128</v>
      </c>
      <c r="C27" s="35">
        <v>30</v>
      </c>
      <c r="D27" s="36">
        <v>60</v>
      </c>
      <c r="E27" s="19">
        <f>C27*D27</f>
        <v>1800</v>
      </c>
      <c r="F27" s="6"/>
      <c r="G27" s="34" t="s">
        <v>129</v>
      </c>
      <c r="H27" s="38" t="s">
        <v>130</v>
      </c>
      <c r="I27" s="35"/>
      <c r="J27" s="39">
        <v>3366.25</v>
      </c>
      <c r="K27" s="41">
        <f>I27*J27</f>
        <v>0</v>
      </c>
      <c r="L27" s="42" t="s">
        <v>131</v>
      </c>
      <c r="M27" s="6"/>
      <c r="N27" s="6"/>
    </row>
    <row r="28" spans="1:14" ht="15" thickBot="1" x14ac:dyDescent="0.35">
      <c r="A28" s="6"/>
      <c r="B28" s="34" t="s">
        <v>132</v>
      </c>
      <c r="C28" s="35">
        <v>300</v>
      </c>
      <c r="D28" s="36">
        <v>5</v>
      </c>
      <c r="E28" s="19">
        <f t="shared" ref="E28:E37" si="1">C28*D28</f>
        <v>1500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12300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c r="C40" s="35"/>
      <c r="D40" s="36"/>
      <c r="E40" s="19">
        <f>C40*D40</f>
        <v>0</v>
      </c>
      <c r="F40" s="6"/>
      <c r="G40" s="37" t="s">
        <v>149</v>
      </c>
      <c r="H40" s="38"/>
      <c r="I40" s="38"/>
      <c r="J40" s="39"/>
      <c r="K40" s="40"/>
      <c r="L40" s="6"/>
      <c r="M40" s="6"/>
      <c r="N40" s="6"/>
    </row>
    <row r="41" spans="1:14" ht="15" thickBot="1" x14ac:dyDescent="0.35">
      <c r="A41" s="6"/>
      <c r="B41" s="34"/>
      <c r="C41" s="35"/>
      <c r="D41" s="36"/>
      <c r="E41" s="19">
        <f>C41*D41</f>
        <v>0</v>
      </c>
      <c r="F41" s="6"/>
      <c r="G41" s="34" t="s">
        <v>151</v>
      </c>
      <c r="H41" s="38" t="s">
        <v>130</v>
      </c>
      <c r="I41" s="48"/>
      <c r="J41" s="39">
        <v>1860.06</v>
      </c>
      <c r="K41" s="41">
        <f t="shared" ref="K41:K42" si="3">I41*J41</f>
        <v>0</v>
      </c>
      <c r="L41" s="6" t="s">
        <v>131</v>
      </c>
      <c r="M41" s="6"/>
      <c r="N41" s="6"/>
    </row>
    <row r="42" spans="1:14" ht="15" thickBot="1" x14ac:dyDescent="0.35">
      <c r="A42" s="6"/>
      <c r="B42" s="34"/>
      <c r="C42" s="48"/>
      <c r="D42" s="36"/>
      <c r="E42" s="19">
        <f t="shared" ref="E42:E53" si="4">C42*D42</f>
        <v>0</v>
      </c>
      <c r="F42" s="6"/>
      <c r="G42" s="34" t="s">
        <v>152</v>
      </c>
      <c r="H42" s="38" t="s">
        <v>130</v>
      </c>
      <c r="I42" s="48"/>
      <c r="J42" s="39">
        <v>326.83999999999997</v>
      </c>
      <c r="K42" s="41">
        <f t="shared" si="3"/>
        <v>0</v>
      </c>
      <c r="L42" s="6" t="s">
        <v>131</v>
      </c>
      <c r="M42" s="6"/>
      <c r="N42" s="6"/>
    </row>
    <row r="43" spans="1:14" ht="15" thickBot="1" x14ac:dyDescent="0.35">
      <c r="A43" s="6"/>
      <c r="B43" s="34"/>
      <c r="C43" s="48"/>
      <c r="D43" s="36"/>
      <c r="E43" s="19">
        <f t="shared" si="4"/>
        <v>0</v>
      </c>
      <c r="F43" s="6"/>
      <c r="G43" s="34" t="s">
        <v>153</v>
      </c>
      <c r="H43" s="38" t="s">
        <v>142</v>
      </c>
      <c r="I43" s="48"/>
      <c r="J43" s="39">
        <v>2500</v>
      </c>
      <c r="K43" s="41">
        <f>I43*J43</f>
        <v>0</v>
      </c>
      <c r="L43" s="6" t="s">
        <v>139</v>
      </c>
      <c r="M43" s="6"/>
      <c r="N43" s="6"/>
    </row>
    <row r="44" spans="1:14" ht="15" thickBot="1" x14ac:dyDescent="0.35">
      <c r="A44" s="6"/>
      <c r="B44" s="34"/>
      <c r="C44" s="48"/>
      <c r="D44" s="36"/>
      <c r="E44" s="19">
        <f t="shared" si="4"/>
        <v>0</v>
      </c>
      <c r="F44" s="6"/>
      <c r="G44" s="34" t="s">
        <v>154</v>
      </c>
      <c r="H44" s="38" t="s">
        <v>142</v>
      </c>
      <c r="I44" s="48"/>
      <c r="J44" s="39">
        <v>500</v>
      </c>
      <c r="K44" s="41">
        <f>I44*J44</f>
        <v>0</v>
      </c>
      <c r="L44" s="6" t="s">
        <v>139</v>
      </c>
      <c r="M44" s="6"/>
      <c r="N44" s="6"/>
    </row>
    <row r="45" spans="1:14" ht="15" thickBot="1" x14ac:dyDescent="0.35">
      <c r="A45" s="6"/>
      <c r="B45" s="34"/>
      <c r="C45" s="48"/>
      <c r="D45" s="36"/>
      <c r="E45" s="19">
        <f t="shared" si="4"/>
        <v>0</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0</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12300</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1172513.6640000001</v>
      </c>
      <c r="F57" s="6"/>
      <c r="G57" s="37" t="s">
        <v>171</v>
      </c>
      <c r="H57" s="38"/>
      <c r="I57" s="38"/>
      <c r="J57" s="39"/>
      <c r="K57" s="40"/>
      <c r="L57" s="6"/>
      <c r="M57" s="6"/>
      <c r="N57" s="6"/>
    </row>
    <row r="58" spans="1:14" ht="15" thickBot="1" x14ac:dyDescent="0.35">
      <c r="A58" s="6"/>
      <c r="B58" s="230" t="s">
        <v>172</v>
      </c>
      <c r="C58" s="232"/>
      <c r="D58" s="56" t="s">
        <v>173</v>
      </c>
      <c r="E58" s="57">
        <f>E55*J22</f>
        <v>15621</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1188134.6640000001</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4CCC2-266F-4841-B9AB-E868BACC3A55}">
  <sheetPr>
    <pageSetUpPr fitToPage="1"/>
  </sheetPr>
  <dimension ref="B1:L72"/>
  <sheetViews>
    <sheetView workbookViewId="0">
      <selection activeCell="E59" sqref="E59"/>
    </sheetView>
  </sheetViews>
  <sheetFormatPr defaultColWidth="8.88671875" defaultRowHeight="14.4" x14ac:dyDescent="0.3"/>
  <cols>
    <col min="1" max="1" width="8.88671875" style="6"/>
    <col min="2" max="2" width="38.6640625" style="6" customWidth="1"/>
    <col min="3" max="4" width="13.6640625" style="6" customWidth="1"/>
    <col min="5" max="5" width="18.5546875" style="6" customWidth="1"/>
    <col min="6" max="6" width="4.88671875" style="6" customWidth="1"/>
    <col min="7" max="7" width="41.5546875" style="6" customWidth="1"/>
    <col min="8" max="8" width="8.6640625" style="6" customWidth="1"/>
    <col min="9" max="9" width="8.88671875" style="6"/>
    <col min="10" max="10" width="10.33203125" style="6" customWidth="1"/>
    <col min="11" max="11" width="8.88671875" style="6"/>
    <col min="12" max="12" width="7.88671875" style="6" bestFit="1" customWidth="1"/>
    <col min="13" max="16384" width="8.88671875" style="6"/>
  </cols>
  <sheetData>
    <row r="1" spans="2:11" x14ac:dyDescent="0.3">
      <c r="B1" s="7" t="s">
        <v>191</v>
      </c>
    </row>
    <row r="2" spans="2:11" x14ac:dyDescent="0.3">
      <c r="B2" s="7"/>
    </row>
    <row r="3" spans="2:11" ht="15" thickBot="1" x14ac:dyDescent="0.35">
      <c r="G3" s="8" t="s">
        <v>76</v>
      </c>
    </row>
    <row r="4" spans="2:11" ht="27" thickBot="1" x14ac:dyDescent="0.35">
      <c r="B4" s="9" t="s">
        <v>77</v>
      </c>
      <c r="C4" s="221"/>
      <c r="D4" s="222"/>
      <c r="E4" s="223"/>
      <c r="G4" s="9" t="s">
        <v>78</v>
      </c>
      <c r="H4" s="10" t="s">
        <v>79</v>
      </c>
    </row>
    <row r="5" spans="2:11" ht="15" thickBot="1" x14ac:dyDescent="0.35">
      <c r="B5" s="224" t="s">
        <v>80</v>
      </c>
      <c r="C5" s="10" t="s">
        <v>81</v>
      </c>
      <c r="D5" s="225" t="s">
        <v>192</v>
      </c>
      <c r="E5" s="12" t="s">
        <v>82</v>
      </c>
      <c r="G5" s="13" t="s">
        <v>83</v>
      </c>
      <c r="H5" s="11">
        <v>118.66</v>
      </c>
    </row>
    <row r="6" spans="2:11" ht="15" thickBot="1" x14ac:dyDescent="0.35">
      <c r="B6" s="224"/>
      <c r="C6" s="11" t="s">
        <v>84</v>
      </c>
      <c r="D6" s="225"/>
      <c r="E6" s="14">
        <v>80</v>
      </c>
      <c r="G6" s="13" t="s">
        <v>85</v>
      </c>
      <c r="H6" s="11">
        <v>83.05</v>
      </c>
    </row>
    <row r="7" spans="2:11" ht="15" thickBot="1" x14ac:dyDescent="0.35">
      <c r="B7" s="13" t="s">
        <v>86</v>
      </c>
      <c r="C7" s="15"/>
      <c r="D7" s="15"/>
      <c r="E7" s="16"/>
      <c r="G7" s="13" t="s">
        <v>87</v>
      </c>
      <c r="H7" s="11">
        <v>69.42</v>
      </c>
      <c r="J7" s="13" t="s">
        <v>88</v>
      </c>
      <c r="K7" s="11" t="s">
        <v>89</v>
      </c>
    </row>
    <row r="8" spans="2:11" ht="15" thickBot="1" x14ac:dyDescent="0.35">
      <c r="B8" s="9" t="s">
        <v>90</v>
      </c>
      <c r="C8" s="226" t="s">
        <v>91</v>
      </c>
      <c r="D8" s="226" t="s">
        <v>92</v>
      </c>
      <c r="E8" s="226" t="s">
        <v>93</v>
      </c>
      <c r="G8" s="13" t="s">
        <v>94</v>
      </c>
      <c r="H8" s="11">
        <v>40.56</v>
      </c>
      <c r="J8" s="13" t="s">
        <v>95</v>
      </c>
      <c r="K8" s="11">
        <v>2.52</v>
      </c>
    </row>
    <row r="9" spans="2:11" ht="15" thickBot="1" x14ac:dyDescent="0.35">
      <c r="B9" s="13" t="s">
        <v>96</v>
      </c>
      <c r="C9" s="226"/>
      <c r="D9" s="226"/>
      <c r="E9" s="226"/>
      <c r="G9" s="13" t="s">
        <v>97</v>
      </c>
      <c r="H9" s="17">
        <v>31.5</v>
      </c>
    </row>
    <row r="10" spans="2:11" ht="15" thickBot="1" x14ac:dyDescent="0.35">
      <c r="B10" s="13" t="s">
        <v>83</v>
      </c>
      <c r="C10" s="18">
        <f>24*40</f>
        <v>960</v>
      </c>
      <c r="D10" s="18">
        <v>118.66</v>
      </c>
      <c r="E10" s="19">
        <f>D10*C10</f>
        <v>113913.59999999999</v>
      </c>
      <c r="G10" s="13" t="s">
        <v>98</v>
      </c>
      <c r="H10" s="11">
        <v>24.75</v>
      </c>
    </row>
    <row r="11" spans="2:11" ht="15" thickBot="1" x14ac:dyDescent="0.35">
      <c r="B11" s="15" t="s">
        <v>193</v>
      </c>
      <c r="C11" s="18">
        <f>24*80*2</f>
        <v>3840</v>
      </c>
      <c r="D11" s="20">
        <v>83.05</v>
      </c>
      <c r="E11" s="19">
        <f>D11*C11</f>
        <v>318912</v>
      </c>
      <c r="H11" s="21"/>
    </row>
    <row r="12" spans="2:11" ht="15" thickBot="1" x14ac:dyDescent="0.35">
      <c r="B12" s="13" t="s">
        <v>197</v>
      </c>
      <c r="C12" s="18">
        <f>24*80*3</f>
        <v>5760</v>
      </c>
      <c r="D12" s="20">
        <v>69.42</v>
      </c>
      <c r="E12" s="19">
        <f>D12*C12</f>
        <v>399859.20000000001</v>
      </c>
    </row>
    <row r="13" spans="2:11" ht="15" customHeight="1" thickBot="1" x14ac:dyDescent="0.35">
      <c r="B13" s="15" t="s">
        <v>101</v>
      </c>
      <c r="C13" s="18">
        <f>24*100</f>
        <v>2400</v>
      </c>
      <c r="D13" s="20">
        <v>40.56</v>
      </c>
      <c r="E13" s="19">
        <f>D13*C13</f>
        <v>97344</v>
      </c>
      <c r="G13" s="227" t="s">
        <v>102</v>
      </c>
      <c r="H13" s="228"/>
      <c r="I13" s="229"/>
      <c r="J13" s="11" t="s">
        <v>103</v>
      </c>
    </row>
    <row r="14" spans="2:11" ht="15" thickBot="1" x14ac:dyDescent="0.35">
      <c r="B14" s="15" t="s">
        <v>104</v>
      </c>
      <c r="C14" s="18">
        <f>24*160</f>
        <v>3840</v>
      </c>
      <c r="D14" s="20">
        <v>31.5</v>
      </c>
      <c r="E14" s="19">
        <f>D14*C14</f>
        <v>120960</v>
      </c>
      <c r="G14" s="230" t="s">
        <v>105</v>
      </c>
      <c r="H14" s="231"/>
      <c r="I14" s="232"/>
      <c r="J14" s="23">
        <v>0.81789999999999996</v>
      </c>
    </row>
    <row r="15" spans="2:11" ht="15" customHeight="1" thickBot="1" x14ac:dyDescent="0.35">
      <c r="B15" s="13"/>
      <c r="C15" s="18"/>
      <c r="D15" s="20"/>
      <c r="E15" s="19">
        <f t="shared" ref="E15:E20" si="0">D15*C15</f>
        <v>0</v>
      </c>
      <c r="G15" s="230" t="s">
        <v>106</v>
      </c>
      <c r="H15" s="231"/>
      <c r="I15" s="232"/>
      <c r="J15" s="23">
        <v>0.1729</v>
      </c>
    </row>
    <row r="16" spans="2:11" ht="15" thickBot="1" x14ac:dyDescent="0.35">
      <c r="B16" s="13"/>
      <c r="C16" s="24"/>
      <c r="D16" s="24"/>
      <c r="E16" s="19">
        <f t="shared" si="0"/>
        <v>0</v>
      </c>
      <c r="G16" s="230" t="s">
        <v>107</v>
      </c>
      <c r="H16" s="231"/>
      <c r="I16" s="232"/>
      <c r="J16" s="23">
        <v>8.7599999999999997E-2</v>
      </c>
      <c r="K16" s="25" t="s">
        <v>108</v>
      </c>
    </row>
    <row r="17" spans="2:12" ht="15" customHeight="1" thickBot="1" x14ac:dyDescent="0.35">
      <c r="B17" s="13"/>
      <c r="C17" s="24"/>
      <c r="D17" s="24"/>
      <c r="E17" s="19">
        <f t="shared" si="0"/>
        <v>0</v>
      </c>
      <c r="G17" s="230" t="s">
        <v>109</v>
      </c>
      <c r="H17" s="231"/>
      <c r="I17" s="232"/>
      <c r="J17" s="23">
        <v>0.16619999999999999</v>
      </c>
      <c r="K17" s="26">
        <f>(I18+I19+I20)/(1-I18+I19+I20)</f>
        <v>0.1284362325371789</v>
      </c>
    </row>
    <row r="18" spans="2:12" ht="15" thickBot="1" x14ac:dyDescent="0.35">
      <c r="B18" s="13"/>
      <c r="C18" s="27"/>
      <c r="D18" s="24"/>
      <c r="E18" s="19">
        <f t="shared" si="0"/>
        <v>0</v>
      </c>
      <c r="G18" s="15"/>
      <c r="H18" s="13" t="s">
        <v>110</v>
      </c>
      <c r="I18" s="23">
        <v>1.6500000000000001E-2</v>
      </c>
      <c r="J18" s="11"/>
    </row>
    <row r="19" spans="2:12" ht="15" thickBot="1" x14ac:dyDescent="0.35">
      <c r="B19" s="13"/>
      <c r="C19" s="24"/>
      <c r="D19" s="24"/>
      <c r="E19" s="19">
        <f t="shared" si="0"/>
        <v>0</v>
      </c>
      <c r="G19" s="13"/>
      <c r="H19" s="13" t="s">
        <v>111</v>
      </c>
      <c r="I19" s="23">
        <v>7.5999999999999998E-2</v>
      </c>
      <c r="J19" s="11"/>
    </row>
    <row r="20" spans="2:12" ht="15" thickBot="1" x14ac:dyDescent="0.35">
      <c r="B20" s="13"/>
      <c r="C20" s="24"/>
      <c r="D20" s="24"/>
      <c r="E20" s="19">
        <f t="shared" si="0"/>
        <v>0</v>
      </c>
      <c r="G20" s="28"/>
      <c r="H20" s="28" t="s">
        <v>112</v>
      </c>
      <c r="I20" s="23">
        <v>0.05</v>
      </c>
      <c r="J20" s="29"/>
    </row>
    <row r="21" spans="2:12" ht="15" thickBot="1" x14ac:dyDescent="0.35">
      <c r="B21" s="9" t="s">
        <v>113</v>
      </c>
      <c r="C21" s="218" t="s">
        <v>114</v>
      </c>
      <c r="D21" s="219"/>
      <c r="E21" s="30">
        <f>SUM(E10:E20)</f>
        <v>1050988.8</v>
      </c>
      <c r="G21" s="220" t="s">
        <v>115</v>
      </c>
      <c r="H21" s="220"/>
      <c r="I21" s="32" t="s">
        <v>116</v>
      </c>
      <c r="J21" s="33">
        <f>ROUNDDOWN((1+J14+J15)*(1+J16)*(1+J17),2)</f>
        <v>2.52</v>
      </c>
    </row>
    <row r="22" spans="2:12" ht="15" customHeight="1" thickBot="1" x14ac:dyDescent="0.35">
      <c r="B22" s="9" t="s">
        <v>117</v>
      </c>
      <c r="C22" s="230"/>
      <c r="D22" s="231"/>
      <c r="E22" s="34"/>
      <c r="G22" s="220" t="s">
        <v>118</v>
      </c>
      <c r="H22" s="220"/>
      <c r="I22" s="32" t="s">
        <v>119</v>
      </c>
      <c r="J22" s="33">
        <f>ROUND((1+J16)*(1+J17),2)</f>
        <v>1.27</v>
      </c>
    </row>
    <row r="23" spans="2:12" ht="15" customHeight="1" thickBot="1" x14ac:dyDescent="0.35">
      <c r="B23" s="13" t="s">
        <v>96</v>
      </c>
      <c r="C23" s="226" t="s">
        <v>120</v>
      </c>
      <c r="D23" s="226" t="s">
        <v>121</v>
      </c>
      <c r="E23" s="226" t="s">
        <v>93</v>
      </c>
    </row>
    <row r="24" spans="2:12" ht="15" thickBot="1" x14ac:dyDescent="0.35">
      <c r="B24" s="22" t="s">
        <v>122</v>
      </c>
      <c r="C24" s="226"/>
      <c r="D24" s="226"/>
      <c r="E24" s="226"/>
      <c r="G24" s="8" t="s">
        <v>123</v>
      </c>
    </row>
    <row r="25" spans="2:12" ht="15" thickBot="1" x14ac:dyDescent="0.35">
      <c r="B25" s="34" t="s">
        <v>124</v>
      </c>
      <c r="C25" s="72">
        <v>30</v>
      </c>
      <c r="D25" s="73">
        <v>150</v>
      </c>
      <c r="E25" s="19">
        <f>C25*D25</f>
        <v>4500</v>
      </c>
      <c r="G25" s="8" t="s">
        <v>125</v>
      </c>
    </row>
    <row r="26" spans="2:12" ht="15" customHeight="1" thickBot="1" x14ac:dyDescent="0.35">
      <c r="B26" s="34" t="s">
        <v>132</v>
      </c>
      <c r="C26" s="74">
        <v>300</v>
      </c>
      <c r="D26" s="73">
        <v>5</v>
      </c>
      <c r="E26" s="19">
        <f>C26*D26</f>
        <v>1500</v>
      </c>
      <c r="G26" s="37" t="s">
        <v>127</v>
      </c>
      <c r="H26" s="38"/>
      <c r="I26" s="38"/>
      <c r="J26" s="39"/>
      <c r="K26" s="40"/>
    </row>
    <row r="27" spans="2:12" ht="15" thickBot="1" x14ac:dyDescent="0.35">
      <c r="B27" s="34" t="s">
        <v>126</v>
      </c>
      <c r="C27" s="75">
        <v>30</v>
      </c>
      <c r="D27" s="73">
        <v>150</v>
      </c>
      <c r="E27" s="19">
        <f>C27*D27</f>
        <v>4500</v>
      </c>
      <c r="G27" s="34" t="s">
        <v>129</v>
      </c>
      <c r="H27" s="38" t="s">
        <v>130</v>
      </c>
      <c r="I27" s="35"/>
      <c r="J27" s="39">
        <v>3366.25</v>
      </c>
      <c r="K27" s="41">
        <f>I27*J27</f>
        <v>0</v>
      </c>
      <c r="L27" s="42" t="s">
        <v>131</v>
      </c>
    </row>
    <row r="28" spans="2:12" ht="15" thickBot="1" x14ac:dyDescent="0.35">
      <c r="B28" s="31"/>
      <c r="C28" s="43"/>
      <c r="D28" s="44"/>
      <c r="E28" s="19">
        <f t="shared" ref="E28:E37" si="1">C28*D28</f>
        <v>0</v>
      </c>
      <c r="G28" s="34" t="s">
        <v>133</v>
      </c>
      <c r="H28" s="38" t="s">
        <v>130</v>
      </c>
      <c r="I28" s="35"/>
      <c r="J28" s="39">
        <v>3561.89</v>
      </c>
      <c r="K28" s="41">
        <f>I28*J28</f>
        <v>0</v>
      </c>
      <c r="L28" s="42" t="s">
        <v>131</v>
      </c>
    </row>
    <row r="29" spans="2:12" ht="15" thickBot="1" x14ac:dyDescent="0.35">
      <c r="B29" s="31"/>
      <c r="C29" s="43"/>
      <c r="D29" s="44"/>
      <c r="E29" s="19">
        <f t="shared" si="1"/>
        <v>0</v>
      </c>
      <c r="G29" s="34" t="s">
        <v>134</v>
      </c>
      <c r="H29" s="38" t="s">
        <v>130</v>
      </c>
      <c r="I29" s="35"/>
      <c r="J29" s="39">
        <v>5032.54</v>
      </c>
      <c r="K29" s="41">
        <f>I29*J29</f>
        <v>0</v>
      </c>
      <c r="L29" s="42" t="s">
        <v>131</v>
      </c>
    </row>
    <row r="30" spans="2:12" ht="15" thickBot="1" x14ac:dyDescent="0.35">
      <c r="B30" s="31"/>
      <c r="C30" s="43"/>
      <c r="D30" s="44"/>
      <c r="E30" s="19">
        <f t="shared" si="1"/>
        <v>0</v>
      </c>
      <c r="G30" s="34" t="s">
        <v>135</v>
      </c>
      <c r="H30" s="38" t="s">
        <v>130</v>
      </c>
      <c r="I30" s="35"/>
      <c r="J30" s="39">
        <v>6600.51</v>
      </c>
      <c r="K30" s="41">
        <f>I30*J30</f>
        <v>0</v>
      </c>
      <c r="L30" s="42" t="s">
        <v>131</v>
      </c>
    </row>
    <row r="31" spans="2:12" ht="15" thickBot="1" x14ac:dyDescent="0.35">
      <c r="B31" s="31"/>
      <c r="C31" s="43"/>
      <c r="D31" s="44"/>
      <c r="E31" s="19">
        <f t="shared" si="1"/>
        <v>0</v>
      </c>
      <c r="G31" s="34" t="s">
        <v>136</v>
      </c>
      <c r="H31" s="38" t="s">
        <v>130</v>
      </c>
      <c r="I31" s="35"/>
      <c r="J31" s="39">
        <v>11311.06</v>
      </c>
      <c r="K31" s="41">
        <f>I31*J31</f>
        <v>0</v>
      </c>
      <c r="L31" s="42" t="s">
        <v>131</v>
      </c>
    </row>
    <row r="32" spans="2:12" ht="15" thickBot="1" x14ac:dyDescent="0.35">
      <c r="B32" s="31"/>
      <c r="C32" s="43"/>
      <c r="D32" s="44"/>
      <c r="E32" s="19">
        <f t="shared" si="1"/>
        <v>0</v>
      </c>
      <c r="G32" s="34"/>
      <c r="H32" s="38"/>
      <c r="I32" s="35"/>
      <c r="J32" s="39"/>
      <c r="K32" s="41"/>
      <c r="L32" s="45"/>
    </row>
    <row r="33" spans="2:12" ht="15" thickBot="1" x14ac:dyDescent="0.35">
      <c r="B33" s="31"/>
      <c r="C33" s="43"/>
      <c r="D33" s="44"/>
      <c r="E33" s="19">
        <f t="shared" si="1"/>
        <v>0</v>
      </c>
      <c r="G33" s="37" t="s">
        <v>137</v>
      </c>
      <c r="H33" s="38"/>
      <c r="I33" s="35"/>
      <c r="J33" s="39"/>
      <c r="K33" s="41"/>
      <c r="L33" s="45"/>
    </row>
    <row r="34" spans="2:12" ht="15" thickBot="1" x14ac:dyDescent="0.35">
      <c r="B34" s="31"/>
      <c r="C34" s="43"/>
      <c r="D34" s="44"/>
      <c r="E34" s="19">
        <f t="shared" si="1"/>
        <v>0</v>
      </c>
      <c r="G34" s="34" t="s">
        <v>124</v>
      </c>
      <c r="H34" s="38" t="s">
        <v>138</v>
      </c>
      <c r="I34" s="35"/>
      <c r="J34" s="39">
        <v>150</v>
      </c>
      <c r="K34" s="41">
        <f>I34*J34</f>
        <v>0</v>
      </c>
      <c r="L34" s="45" t="s">
        <v>139</v>
      </c>
    </row>
    <row r="35" spans="2:12" ht="15" thickBot="1" x14ac:dyDescent="0.35">
      <c r="B35" s="31"/>
      <c r="C35" s="43"/>
      <c r="D35" s="44"/>
      <c r="E35" s="19">
        <f t="shared" si="1"/>
        <v>0</v>
      </c>
      <c r="G35" s="34" t="s">
        <v>132</v>
      </c>
      <c r="H35" s="38" t="s">
        <v>140</v>
      </c>
      <c r="I35" s="35"/>
      <c r="J35" s="39">
        <v>5</v>
      </c>
      <c r="K35" s="41">
        <f t="shared" ref="K35:K38" si="2">I35*J35</f>
        <v>0</v>
      </c>
      <c r="L35" s="45" t="s">
        <v>139</v>
      </c>
    </row>
    <row r="36" spans="2:12" ht="15" thickBot="1" x14ac:dyDescent="0.35">
      <c r="B36" s="31"/>
      <c r="C36" s="43"/>
      <c r="D36" s="44"/>
      <c r="E36" s="19">
        <f t="shared" si="1"/>
        <v>0</v>
      </c>
      <c r="G36" s="34" t="s">
        <v>141</v>
      </c>
      <c r="H36" s="38" t="s">
        <v>142</v>
      </c>
      <c r="I36" s="35"/>
      <c r="J36" s="39">
        <v>800</v>
      </c>
      <c r="K36" s="41">
        <f t="shared" si="2"/>
        <v>0</v>
      </c>
      <c r="L36" s="45" t="s">
        <v>139</v>
      </c>
    </row>
    <row r="37" spans="2:12" ht="15" thickBot="1" x14ac:dyDescent="0.35">
      <c r="B37" s="31"/>
      <c r="C37" s="43"/>
      <c r="D37" s="44"/>
      <c r="E37" s="19">
        <f t="shared" si="1"/>
        <v>0</v>
      </c>
      <c r="G37" s="34" t="s">
        <v>143</v>
      </c>
      <c r="H37" s="38" t="s">
        <v>142</v>
      </c>
      <c r="I37" s="35"/>
      <c r="J37" s="39">
        <v>1125</v>
      </c>
      <c r="K37" s="41">
        <f t="shared" si="2"/>
        <v>0</v>
      </c>
      <c r="L37" s="45" t="s">
        <v>139</v>
      </c>
    </row>
    <row r="38" spans="2:12" ht="15" thickBot="1" x14ac:dyDescent="0.35">
      <c r="B38" s="46" t="s">
        <v>144</v>
      </c>
      <c r="C38" s="234" t="s">
        <v>145</v>
      </c>
      <c r="D38" s="234"/>
      <c r="E38" s="30">
        <f>SUM(E25:E37)</f>
        <v>10500</v>
      </c>
      <c r="G38" s="34" t="s">
        <v>146</v>
      </c>
      <c r="H38" s="38" t="s">
        <v>142</v>
      </c>
      <c r="I38" s="35"/>
      <c r="J38" s="39">
        <v>1750</v>
      </c>
      <c r="K38" s="41">
        <f t="shared" si="2"/>
        <v>0</v>
      </c>
      <c r="L38" s="45" t="s">
        <v>139</v>
      </c>
    </row>
    <row r="39" spans="2:12" ht="24.75" customHeight="1" thickBot="1" x14ac:dyDescent="0.35">
      <c r="B39" s="22" t="s">
        <v>147</v>
      </c>
      <c r="C39" s="11" t="s">
        <v>120</v>
      </c>
      <c r="D39" s="11" t="s">
        <v>121</v>
      </c>
      <c r="E39" s="47" t="s">
        <v>93</v>
      </c>
      <c r="G39" s="34"/>
      <c r="H39" s="38"/>
      <c r="I39" s="38"/>
      <c r="J39" s="39"/>
      <c r="K39" s="39"/>
      <c r="L39" s="45"/>
    </row>
    <row r="40" spans="2:12" ht="15" thickBot="1" x14ac:dyDescent="0.35">
      <c r="B40" s="34" t="s">
        <v>152</v>
      </c>
      <c r="C40" s="48">
        <v>1</v>
      </c>
      <c r="D40" s="36">
        <v>326.83999999999997</v>
      </c>
      <c r="E40" s="19">
        <f>C40*D40</f>
        <v>326.83999999999997</v>
      </c>
      <c r="G40" s="37" t="s">
        <v>149</v>
      </c>
      <c r="H40" s="38"/>
      <c r="I40" s="38"/>
      <c r="J40" s="39"/>
      <c r="K40" s="40"/>
    </row>
    <row r="41" spans="2:12" ht="15" thickBot="1" x14ac:dyDescent="0.35">
      <c r="B41" s="34" t="s">
        <v>153</v>
      </c>
      <c r="C41" s="48">
        <v>2</v>
      </c>
      <c r="D41" s="36">
        <v>2500</v>
      </c>
      <c r="E41" s="19">
        <f>C41*D41</f>
        <v>5000</v>
      </c>
      <c r="G41" s="34" t="s">
        <v>151</v>
      </c>
      <c r="H41" s="38" t="s">
        <v>130</v>
      </c>
      <c r="I41" s="48"/>
      <c r="J41" s="39">
        <v>1860.06</v>
      </c>
      <c r="K41" s="41">
        <f t="shared" ref="K41:K42" si="3">I41*J41</f>
        <v>0</v>
      </c>
      <c r="L41" s="6" t="s">
        <v>131</v>
      </c>
    </row>
    <row r="42" spans="2:12" ht="15" thickBot="1" x14ac:dyDescent="0.35">
      <c r="B42" s="34" t="s">
        <v>154</v>
      </c>
      <c r="C42" s="48">
        <v>1</v>
      </c>
      <c r="D42" s="36">
        <v>500</v>
      </c>
      <c r="E42" s="19">
        <f t="shared" ref="E42:E53" si="4">C42*D42</f>
        <v>500</v>
      </c>
      <c r="G42" s="34" t="s">
        <v>152</v>
      </c>
      <c r="H42" s="38" t="s">
        <v>130</v>
      </c>
      <c r="I42" s="48"/>
      <c r="J42" s="39">
        <v>326.83999999999997</v>
      </c>
      <c r="K42" s="41">
        <f t="shared" si="3"/>
        <v>0</v>
      </c>
      <c r="L42" s="6" t="s">
        <v>131</v>
      </c>
    </row>
    <row r="43" spans="2:12" ht="15" thickBot="1" x14ac:dyDescent="0.35">
      <c r="B43" s="34" t="s">
        <v>155</v>
      </c>
      <c r="C43" s="48">
        <v>1</v>
      </c>
      <c r="D43" s="36">
        <v>700</v>
      </c>
      <c r="E43" s="19">
        <f t="shared" si="4"/>
        <v>700</v>
      </c>
      <c r="G43" s="34" t="s">
        <v>153</v>
      </c>
      <c r="H43" s="38" t="s">
        <v>142</v>
      </c>
      <c r="I43" s="48"/>
      <c r="J43" s="39">
        <v>2500</v>
      </c>
      <c r="K43" s="41">
        <f>I43*J43</f>
        <v>0</v>
      </c>
      <c r="L43" s="6" t="s">
        <v>139</v>
      </c>
    </row>
    <row r="44" spans="2:12" ht="15" thickBot="1" x14ac:dyDescent="0.35">
      <c r="B44" s="34" t="s">
        <v>148</v>
      </c>
      <c r="C44" s="35">
        <v>24</v>
      </c>
      <c r="D44" s="36">
        <v>1889.72</v>
      </c>
      <c r="E44" s="19">
        <f t="shared" si="4"/>
        <v>45353.279999999999</v>
      </c>
      <c r="G44" s="34" t="s">
        <v>154</v>
      </c>
      <c r="H44" s="38" t="s">
        <v>142</v>
      </c>
      <c r="I44" s="48"/>
      <c r="J44" s="39">
        <v>500</v>
      </c>
      <c r="K44" s="41">
        <f>I44*J44</f>
        <v>0</v>
      </c>
      <c r="L44" s="6" t="s">
        <v>139</v>
      </c>
    </row>
    <row r="45" spans="2:12" ht="15" thickBot="1" x14ac:dyDescent="0.35">
      <c r="B45" s="34" t="s">
        <v>150</v>
      </c>
      <c r="C45" s="35">
        <v>24</v>
      </c>
      <c r="D45" s="36">
        <v>812.73</v>
      </c>
      <c r="E45" s="19">
        <f t="shared" si="4"/>
        <v>19505.52</v>
      </c>
      <c r="G45" s="34" t="s">
        <v>156</v>
      </c>
      <c r="H45" s="38" t="s">
        <v>142</v>
      </c>
      <c r="I45" s="48"/>
      <c r="J45" s="39">
        <v>2500</v>
      </c>
      <c r="K45" s="41">
        <f>I45*J45</f>
        <v>0</v>
      </c>
      <c r="L45" s="6" t="s">
        <v>139</v>
      </c>
    </row>
    <row r="46" spans="2:12" ht="15" thickBot="1" x14ac:dyDescent="0.35">
      <c r="B46" s="31"/>
      <c r="C46" s="44"/>
      <c r="D46" s="44"/>
      <c r="E46" s="19">
        <f t="shared" si="4"/>
        <v>0</v>
      </c>
      <c r="G46" s="34" t="s">
        <v>155</v>
      </c>
      <c r="H46" s="38" t="s">
        <v>142</v>
      </c>
      <c r="I46" s="48"/>
      <c r="J46" s="39">
        <v>700</v>
      </c>
      <c r="K46" s="41">
        <f>I46*J46</f>
        <v>0</v>
      </c>
      <c r="L46" s="6" t="s">
        <v>139</v>
      </c>
    </row>
    <row r="47" spans="2:12" ht="15" thickBot="1" x14ac:dyDescent="0.35">
      <c r="B47" s="31"/>
      <c r="C47" s="44"/>
      <c r="D47" s="44"/>
      <c r="E47" s="19">
        <f t="shared" si="4"/>
        <v>0</v>
      </c>
    </row>
    <row r="48" spans="2:12" ht="15" thickBot="1" x14ac:dyDescent="0.35">
      <c r="B48" s="31"/>
      <c r="C48" s="44"/>
      <c r="D48" s="44"/>
      <c r="E48" s="19">
        <f t="shared" si="4"/>
        <v>0</v>
      </c>
      <c r="G48" s="37" t="s">
        <v>157</v>
      </c>
      <c r="H48" s="38"/>
      <c r="I48" s="38"/>
      <c r="J48" s="39"/>
      <c r="K48" s="40"/>
    </row>
    <row r="49" spans="2:12" ht="15" thickBot="1" x14ac:dyDescent="0.35">
      <c r="B49" s="31"/>
      <c r="C49" s="44"/>
      <c r="D49" s="44"/>
      <c r="E49" s="19">
        <f t="shared" si="4"/>
        <v>0</v>
      </c>
      <c r="G49" s="34" t="s">
        <v>158</v>
      </c>
      <c r="H49" s="38" t="s">
        <v>130</v>
      </c>
      <c r="I49" s="35"/>
      <c r="J49" s="39">
        <v>1889.72</v>
      </c>
      <c r="K49" s="41">
        <f>I49*J49</f>
        <v>0</v>
      </c>
      <c r="L49" s="6" t="s">
        <v>131</v>
      </c>
    </row>
    <row r="50" spans="2:12" ht="15" thickBot="1" x14ac:dyDescent="0.35">
      <c r="B50" s="31"/>
      <c r="C50" s="44"/>
      <c r="D50" s="44"/>
      <c r="E50" s="19">
        <f t="shared" si="4"/>
        <v>0</v>
      </c>
      <c r="G50" s="34" t="s">
        <v>159</v>
      </c>
      <c r="H50" s="38" t="s">
        <v>130</v>
      </c>
      <c r="I50" s="35"/>
      <c r="J50" s="39">
        <v>2167.38</v>
      </c>
      <c r="K50" s="41">
        <f>I50*J50</f>
        <v>0</v>
      </c>
      <c r="L50" s="6" t="s">
        <v>131</v>
      </c>
    </row>
    <row r="51" spans="2:12" ht="15" thickBot="1" x14ac:dyDescent="0.35">
      <c r="B51" s="31"/>
      <c r="C51" s="44"/>
      <c r="D51" s="44"/>
      <c r="E51" s="19">
        <f t="shared" si="4"/>
        <v>0</v>
      </c>
      <c r="G51" s="34" t="s">
        <v>160</v>
      </c>
      <c r="H51" s="38" t="s">
        <v>130</v>
      </c>
      <c r="I51" s="35"/>
      <c r="J51" s="39">
        <v>1896.45</v>
      </c>
      <c r="K51" s="41">
        <f>I51*J51</f>
        <v>0</v>
      </c>
      <c r="L51" s="6" t="s">
        <v>131</v>
      </c>
    </row>
    <row r="52" spans="2:12" ht="15" thickBot="1" x14ac:dyDescent="0.35">
      <c r="B52" s="31"/>
      <c r="C52" s="44"/>
      <c r="D52" s="44"/>
      <c r="E52" s="19">
        <f t="shared" si="4"/>
        <v>0</v>
      </c>
    </row>
    <row r="53" spans="2:12" ht="15" thickBot="1" x14ac:dyDescent="0.35">
      <c r="B53" s="31"/>
      <c r="C53" s="44"/>
      <c r="D53" s="44"/>
      <c r="E53" s="19">
        <f t="shared" si="4"/>
        <v>0</v>
      </c>
      <c r="G53" s="37" t="s">
        <v>161</v>
      </c>
      <c r="H53" s="38"/>
      <c r="I53" s="38"/>
      <c r="J53" s="39"/>
      <c r="K53" s="40"/>
    </row>
    <row r="54" spans="2:12" ht="15" thickBot="1" x14ac:dyDescent="0.35">
      <c r="B54" s="49" t="s">
        <v>162</v>
      </c>
      <c r="C54" s="236" t="s">
        <v>163</v>
      </c>
      <c r="D54" s="237"/>
      <c r="E54" s="50">
        <f>SUM(E40:E53)</f>
        <v>71385.64</v>
      </c>
      <c r="G54" s="34" t="s">
        <v>164</v>
      </c>
      <c r="H54" s="38" t="s">
        <v>130</v>
      </c>
      <c r="I54" s="35"/>
      <c r="J54" s="39">
        <v>812.73</v>
      </c>
      <c r="K54" s="41">
        <f>I54*J54</f>
        <v>0</v>
      </c>
      <c r="L54" s="6" t="s">
        <v>131</v>
      </c>
    </row>
    <row r="55" spans="2:12" x14ac:dyDescent="0.3">
      <c r="B55" s="238" t="s">
        <v>165</v>
      </c>
      <c r="C55" s="239"/>
      <c r="D55" s="51" t="s">
        <v>166</v>
      </c>
      <c r="E55" s="52">
        <f>E38+E54</f>
        <v>81885.64</v>
      </c>
      <c r="G55" s="34" t="s">
        <v>167</v>
      </c>
      <c r="H55" s="38" t="s">
        <v>130</v>
      </c>
      <c r="I55" s="35"/>
      <c r="J55" s="39">
        <v>677.3</v>
      </c>
      <c r="K55" s="41">
        <f>I55*J55</f>
        <v>0</v>
      </c>
      <c r="L55" s="6" t="s">
        <v>131</v>
      </c>
    </row>
    <row r="56" spans="2:12" x14ac:dyDescent="0.3">
      <c r="B56" s="53" t="s">
        <v>168</v>
      </c>
      <c r="C56" s="34"/>
      <c r="D56" s="34"/>
      <c r="E56" s="34"/>
      <c r="G56" s="34"/>
      <c r="H56" s="38"/>
      <c r="I56" s="38"/>
      <c r="J56" s="39"/>
      <c r="K56" s="39"/>
    </row>
    <row r="57" spans="2:12" ht="15" thickBot="1" x14ac:dyDescent="0.35">
      <c r="B57" s="240" t="s">
        <v>169</v>
      </c>
      <c r="C57" s="241"/>
      <c r="D57" s="54" t="s">
        <v>170</v>
      </c>
      <c r="E57" s="55">
        <f>J21*E21</f>
        <v>2648491.7760000001</v>
      </c>
      <c r="G57" s="37" t="s">
        <v>171</v>
      </c>
      <c r="H57" s="38"/>
      <c r="I57" s="38"/>
      <c r="J57" s="39"/>
      <c r="K57" s="40"/>
    </row>
    <row r="58" spans="2:12" ht="15" thickBot="1" x14ac:dyDescent="0.35">
      <c r="B58" s="230" t="s">
        <v>172</v>
      </c>
      <c r="C58" s="232"/>
      <c r="D58" s="56" t="s">
        <v>173</v>
      </c>
      <c r="E58" s="57">
        <f>E55*J22</f>
        <v>103994.7628</v>
      </c>
      <c r="G58" s="34" t="s">
        <v>126</v>
      </c>
      <c r="H58" s="38" t="s">
        <v>138</v>
      </c>
      <c r="I58" s="35"/>
      <c r="J58" s="39">
        <v>150</v>
      </c>
      <c r="K58" s="41">
        <f>I58*J58</f>
        <v>0</v>
      </c>
      <c r="L58" s="6" t="s">
        <v>139</v>
      </c>
    </row>
    <row r="59" spans="2:12" ht="15" thickBot="1" x14ac:dyDescent="0.35">
      <c r="B59" s="13" t="s">
        <v>174</v>
      </c>
      <c r="C59" s="15"/>
      <c r="D59" s="58"/>
      <c r="E59" s="30">
        <f>E58+E57</f>
        <v>2752486.5388000002</v>
      </c>
      <c r="G59" s="34" t="s">
        <v>128</v>
      </c>
      <c r="H59" s="38" t="s">
        <v>138</v>
      </c>
      <c r="I59" s="35"/>
      <c r="J59" s="39">
        <v>60</v>
      </c>
      <c r="K59" s="41">
        <f>I59*J59</f>
        <v>0</v>
      </c>
      <c r="L59" s="6" t="s">
        <v>139</v>
      </c>
    </row>
    <row r="61" spans="2:12" ht="14.4" customHeight="1" x14ac:dyDescent="0.3">
      <c r="B61" s="233" t="s">
        <v>175</v>
      </c>
      <c r="C61" s="233"/>
      <c r="D61" s="233"/>
      <c r="E61" s="233"/>
      <c r="F61" s="59"/>
      <c r="G61" s="60" t="s">
        <v>176</v>
      </c>
    </row>
    <row r="62" spans="2:12" ht="15.6" customHeight="1" x14ac:dyDescent="0.3">
      <c r="B62" s="233"/>
      <c r="C62" s="233"/>
      <c r="D62" s="233"/>
      <c r="E62" s="233"/>
      <c r="F62" s="61"/>
      <c r="G62" s="62" t="s">
        <v>177</v>
      </c>
      <c r="H62" s="63"/>
      <c r="I62" s="64"/>
      <c r="J62" s="64"/>
    </row>
    <row r="63" spans="2:12" ht="15.6" customHeight="1" x14ac:dyDescent="0.3">
      <c r="B63" s="233"/>
      <c r="C63" s="233"/>
      <c r="D63" s="233"/>
      <c r="E63" s="233"/>
      <c r="F63" s="61"/>
      <c r="G63" s="65" t="s">
        <v>178</v>
      </c>
      <c r="H63" s="66" t="s">
        <v>179</v>
      </c>
      <c r="I63" s="67" t="s">
        <v>180</v>
      </c>
      <c r="J63" s="67" t="s">
        <v>181</v>
      </c>
    </row>
    <row r="64" spans="2:12" ht="20.399999999999999" customHeight="1" x14ac:dyDescent="0.3">
      <c r="B64" s="233"/>
      <c r="C64" s="233"/>
      <c r="D64" s="233"/>
      <c r="E64" s="233"/>
      <c r="F64" s="61"/>
      <c r="G64" s="68" t="s">
        <v>182</v>
      </c>
      <c r="H64" s="69">
        <v>508.38</v>
      </c>
      <c r="I64" s="69">
        <v>433.49</v>
      </c>
      <c r="J64" s="69">
        <v>381.14</v>
      </c>
    </row>
    <row r="65" spans="2:10" ht="20.399999999999999" customHeight="1" x14ac:dyDescent="0.3">
      <c r="B65" s="233"/>
      <c r="C65" s="233"/>
      <c r="D65" s="233"/>
      <c r="E65" s="233"/>
      <c r="F65" s="61"/>
      <c r="G65" s="68" t="s">
        <v>183</v>
      </c>
      <c r="H65" s="69">
        <v>455</v>
      </c>
      <c r="I65" s="69">
        <v>387.86</v>
      </c>
      <c r="J65" s="69">
        <v>341.02</v>
      </c>
    </row>
    <row r="66" spans="2:10" ht="20.399999999999999" customHeight="1" x14ac:dyDescent="0.3">
      <c r="B66" s="233"/>
      <c r="C66" s="233"/>
      <c r="D66" s="233"/>
      <c r="E66" s="233"/>
      <c r="F66" s="61"/>
      <c r="G66" s="68" t="s">
        <v>184</v>
      </c>
      <c r="H66" s="69">
        <v>401.61</v>
      </c>
      <c r="I66" s="69">
        <v>342.23</v>
      </c>
      <c r="J66" s="69">
        <v>300.89999999999998</v>
      </c>
    </row>
    <row r="67" spans="2:10" ht="45.6" customHeight="1" x14ac:dyDescent="0.3">
      <c r="B67" s="233"/>
      <c r="C67" s="233"/>
      <c r="D67" s="233"/>
      <c r="E67" s="233"/>
      <c r="F67" s="61"/>
      <c r="G67" s="233" t="s">
        <v>185</v>
      </c>
      <c r="H67" s="233"/>
      <c r="I67" s="233"/>
      <c r="J67" s="233"/>
    </row>
    <row r="68" spans="2:10" ht="42" customHeight="1" x14ac:dyDescent="0.3">
      <c r="B68" s="235" t="s">
        <v>186</v>
      </c>
      <c r="C68" s="235"/>
      <c r="D68" s="235"/>
      <c r="E68" s="235"/>
      <c r="F68" s="235"/>
    </row>
    <row r="69" spans="2:10" ht="37.950000000000003" customHeight="1" x14ac:dyDescent="0.3">
      <c r="B69" s="235" t="s">
        <v>187</v>
      </c>
      <c r="C69" s="235"/>
      <c r="D69" s="235"/>
      <c r="E69" s="235"/>
      <c r="F69" s="235"/>
    </row>
    <row r="70" spans="2:10" x14ac:dyDescent="0.3">
      <c r="B70" s="70" t="s">
        <v>188</v>
      </c>
      <c r="C70" s="71"/>
      <c r="D70" s="71"/>
      <c r="E70" s="71"/>
      <c r="F70" s="71"/>
    </row>
    <row r="71" spans="2:10" x14ac:dyDescent="0.3">
      <c r="B71" s="70" t="s">
        <v>189</v>
      </c>
      <c r="C71" s="71"/>
      <c r="D71" s="71"/>
      <c r="E71" s="71"/>
      <c r="F71" s="71"/>
    </row>
    <row r="72" spans="2:10" x14ac:dyDescent="0.3">
      <c r="B72" s="70" t="s">
        <v>190</v>
      </c>
      <c r="C72" s="71"/>
      <c r="D72" s="71"/>
      <c r="E72" s="71"/>
      <c r="F72" s="71"/>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7" right="0.7" top="0.75" bottom="0.75" header="0.3" footer="0.3"/>
  <pageSetup paperSize="9" scale="43"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50AE9-5129-4284-89D6-834D57CA3813}">
  <sheetPr>
    <pageSetUpPr fitToPage="1"/>
  </sheetPr>
  <dimension ref="B1:L72"/>
  <sheetViews>
    <sheetView workbookViewId="0">
      <selection activeCell="E59" sqref="E59"/>
    </sheetView>
  </sheetViews>
  <sheetFormatPr defaultColWidth="8.88671875" defaultRowHeight="14.4" x14ac:dyDescent="0.3"/>
  <cols>
    <col min="1" max="1" width="8.88671875" style="6"/>
    <col min="2" max="2" width="38.6640625" style="6" customWidth="1"/>
    <col min="3" max="4" width="13.6640625" style="6" customWidth="1"/>
    <col min="5" max="5" width="18.5546875" style="6" customWidth="1"/>
    <col min="6" max="6" width="4.88671875" style="6" customWidth="1"/>
    <col min="7" max="7" width="41.5546875" style="6" customWidth="1"/>
    <col min="8" max="8" width="8.6640625" style="6" customWidth="1"/>
    <col min="9" max="9" width="8.88671875" style="6"/>
    <col min="10" max="10" width="10.33203125" style="6" customWidth="1"/>
    <col min="11" max="11" width="8.88671875" style="6"/>
    <col min="12" max="12" width="7.88671875" style="6" bestFit="1" customWidth="1"/>
    <col min="13" max="16384" width="8.88671875" style="6"/>
  </cols>
  <sheetData>
    <row r="1" spans="2:11" x14ac:dyDescent="0.3">
      <c r="B1" s="7" t="s">
        <v>196</v>
      </c>
    </row>
    <row r="2" spans="2:11" x14ac:dyDescent="0.3">
      <c r="B2" s="7"/>
    </row>
    <row r="3" spans="2:11" ht="15" thickBot="1" x14ac:dyDescent="0.35">
      <c r="G3" s="8" t="s">
        <v>76</v>
      </c>
    </row>
    <row r="4" spans="2:11" ht="27" thickBot="1" x14ac:dyDescent="0.35">
      <c r="B4" s="9" t="s">
        <v>77</v>
      </c>
      <c r="C4" s="221"/>
      <c r="D4" s="222"/>
      <c r="E4" s="223"/>
      <c r="G4" s="9" t="s">
        <v>78</v>
      </c>
      <c r="H4" s="10" t="s">
        <v>79</v>
      </c>
    </row>
    <row r="5" spans="2:11" ht="15" thickBot="1" x14ac:dyDescent="0.35">
      <c r="B5" s="224" t="s">
        <v>80</v>
      </c>
      <c r="C5" s="10" t="s">
        <v>81</v>
      </c>
      <c r="D5" s="225" t="s">
        <v>194</v>
      </c>
      <c r="E5" s="12" t="s">
        <v>82</v>
      </c>
      <c r="G5" s="13" t="s">
        <v>83</v>
      </c>
      <c r="H5" s="11">
        <v>118.66</v>
      </c>
    </row>
    <row r="6" spans="2:11" ht="15" thickBot="1" x14ac:dyDescent="0.35">
      <c r="B6" s="224"/>
      <c r="C6" s="11" t="s">
        <v>84</v>
      </c>
      <c r="D6" s="225"/>
      <c r="E6" s="14">
        <v>80</v>
      </c>
      <c r="G6" s="13" t="s">
        <v>85</v>
      </c>
      <c r="H6" s="11">
        <v>83.05</v>
      </c>
    </row>
    <row r="7" spans="2:11" ht="15" thickBot="1" x14ac:dyDescent="0.35">
      <c r="B7" s="13" t="s">
        <v>86</v>
      </c>
      <c r="C7" s="15"/>
      <c r="D7" s="15"/>
      <c r="E7" s="16"/>
      <c r="G7" s="13" t="s">
        <v>87</v>
      </c>
      <c r="H7" s="11">
        <v>69.42</v>
      </c>
      <c r="J7" s="13" t="s">
        <v>88</v>
      </c>
      <c r="K7" s="11" t="s">
        <v>89</v>
      </c>
    </row>
    <row r="8" spans="2:11" ht="15" thickBot="1" x14ac:dyDescent="0.35">
      <c r="B8" s="9" t="s">
        <v>90</v>
      </c>
      <c r="C8" s="226" t="s">
        <v>91</v>
      </c>
      <c r="D8" s="226" t="s">
        <v>92</v>
      </c>
      <c r="E8" s="226" t="s">
        <v>93</v>
      </c>
      <c r="G8" s="13" t="s">
        <v>94</v>
      </c>
      <c r="H8" s="11">
        <v>40.56</v>
      </c>
      <c r="J8" s="13" t="s">
        <v>95</v>
      </c>
      <c r="K8" s="11">
        <v>2.52</v>
      </c>
    </row>
    <row r="9" spans="2:11" ht="15" thickBot="1" x14ac:dyDescent="0.35">
      <c r="B9" s="13" t="s">
        <v>96</v>
      </c>
      <c r="C9" s="226"/>
      <c r="D9" s="226"/>
      <c r="E9" s="226"/>
      <c r="G9" s="13" t="s">
        <v>97</v>
      </c>
      <c r="H9" s="17">
        <v>31.5</v>
      </c>
    </row>
    <row r="10" spans="2:11" ht="15" thickBot="1" x14ac:dyDescent="0.35">
      <c r="B10" s="13" t="s">
        <v>83</v>
      </c>
      <c r="C10" s="18">
        <f>18*40</f>
        <v>720</v>
      </c>
      <c r="D10" s="18">
        <v>118.66</v>
      </c>
      <c r="E10" s="19">
        <f>D10*C10</f>
        <v>85435.199999999997</v>
      </c>
      <c r="G10" s="13" t="s">
        <v>98</v>
      </c>
      <c r="H10" s="11">
        <v>24.75</v>
      </c>
    </row>
    <row r="11" spans="2:11" ht="15" thickBot="1" x14ac:dyDescent="0.35">
      <c r="B11" s="15" t="s">
        <v>99</v>
      </c>
      <c r="C11" s="18">
        <f>18*80</f>
        <v>1440</v>
      </c>
      <c r="D11" s="20">
        <v>83.05</v>
      </c>
      <c r="E11" s="19">
        <f>D11*C11</f>
        <v>119592</v>
      </c>
      <c r="H11" s="21"/>
    </row>
    <row r="12" spans="2:11" ht="15" thickBot="1" x14ac:dyDescent="0.35">
      <c r="B12" s="13" t="s">
        <v>100</v>
      </c>
      <c r="C12" s="18">
        <f>18*80</f>
        <v>1440</v>
      </c>
      <c r="D12" s="20">
        <v>69.42</v>
      </c>
      <c r="E12" s="19">
        <f>D12*C12</f>
        <v>99964.800000000003</v>
      </c>
    </row>
    <row r="13" spans="2:11" ht="15" customHeight="1" thickBot="1" x14ac:dyDescent="0.35">
      <c r="B13" s="15" t="s">
        <v>101</v>
      </c>
      <c r="C13" s="18">
        <f>18*100</f>
        <v>1800</v>
      </c>
      <c r="D13" s="20">
        <v>40.56</v>
      </c>
      <c r="E13" s="19">
        <f>D13*C13</f>
        <v>73008</v>
      </c>
      <c r="G13" s="227" t="s">
        <v>102</v>
      </c>
      <c r="H13" s="228"/>
      <c r="I13" s="229"/>
      <c r="J13" s="11" t="s">
        <v>103</v>
      </c>
    </row>
    <row r="14" spans="2:11" ht="15" thickBot="1" x14ac:dyDescent="0.35">
      <c r="B14" s="15" t="s">
        <v>104</v>
      </c>
      <c r="C14" s="18">
        <f>18*160</f>
        <v>2880</v>
      </c>
      <c r="D14" s="20">
        <v>31.5</v>
      </c>
      <c r="E14" s="19">
        <f>D14*C14</f>
        <v>90720</v>
      </c>
      <c r="G14" s="230" t="s">
        <v>105</v>
      </c>
      <c r="H14" s="231"/>
      <c r="I14" s="232"/>
      <c r="J14" s="23">
        <v>0.81789999999999996</v>
      </c>
    </row>
    <row r="15" spans="2:11" ht="15" customHeight="1" thickBot="1" x14ac:dyDescent="0.35">
      <c r="B15" s="13"/>
      <c r="C15" s="18"/>
      <c r="D15" s="20"/>
      <c r="E15" s="19">
        <f t="shared" ref="E15:E20" si="0">D15*C15</f>
        <v>0</v>
      </c>
      <c r="G15" s="230" t="s">
        <v>106</v>
      </c>
      <c r="H15" s="231"/>
      <c r="I15" s="232"/>
      <c r="J15" s="23">
        <v>0.1729</v>
      </c>
    </row>
    <row r="16" spans="2:11" ht="15" thickBot="1" x14ac:dyDescent="0.35">
      <c r="B16" s="13"/>
      <c r="C16" s="24"/>
      <c r="D16" s="24"/>
      <c r="E16" s="19">
        <f t="shared" si="0"/>
        <v>0</v>
      </c>
      <c r="G16" s="230" t="s">
        <v>107</v>
      </c>
      <c r="H16" s="231"/>
      <c r="I16" s="232"/>
      <c r="J16" s="23">
        <v>8.7599999999999997E-2</v>
      </c>
      <c r="K16" s="25" t="s">
        <v>108</v>
      </c>
    </row>
    <row r="17" spans="2:12" ht="15" customHeight="1" thickBot="1" x14ac:dyDescent="0.35">
      <c r="B17" s="13"/>
      <c r="C17" s="24"/>
      <c r="D17" s="24"/>
      <c r="E17" s="19">
        <f t="shared" si="0"/>
        <v>0</v>
      </c>
      <c r="G17" s="230" t="s">
        <v>109</v>
      </c>
      <c r="H17" s="231"/>
      <c r="I17" s="232"/>
      <c r="J17" s="23">
        <v>0.16619999999999999</v>
      </c>
      <c r="K17" s="26">
        <f>(I18+I19+I20)/(1-I18+I19+I20)</f>
        <v>0.1284362325371789</v>
      </c>
    </row>
    <row r="18" spans="2:12" ht="15" thickBot="1" x14ac:dyDescent="0.35">
      <c r="B18" s="13"/>
      <c r="C18" s="27"/>
      <c r="D18" s="24"/>
      <c r="E18" s="19">
        <f t="shared" si="0"/>
        <v>0</v>
      </c>
      <c r="G18" s="15"/>
      <c r="H18" s="13" t="s">
        <v>110</v>
      </c>
      <c r="I18" s="23">
        <v>1.6500000000000001E-2</v>
      </c>
      <c r="J18" s="11"/>
    </row>
    <row r="19" spans="2:12" ht="15" thickBot="1" x14ac:dyDescent="0.35">
      <c r="B19" s="13"/>
      <c r="C19" s="24"/>
      <c r="D19" s="24"/>
      <c r="E19" s="19">
        <f t="shared" si="0"/>
        <v>0</v>
      </c>
      <c r="G19" s="13"/>
      <c r="H19" s="13" t="s">
        <v>111</v>
      </c>
      <c r="I19" s="23">
        <v>7.5999999999999998E-2</v>
      </c>
      <c r="J19" s="11"/>
    </row>
    <row r="20" spans="2:12" ht="15" thickBot="1" x14ac:dyDescent="0.35">
      <c r="B20" s="13"/>
      <c r="C20" s="24"/>
      <c r="D20" s="24"/>
      <c r="E20" s="19">
        <f t="shared" si="0"/>
        <v>0</v>
      </c>
      <c r="G20" s="28"/>
      <c r="H20" s="28" t="s">
        <v>112</v>
      </c>
      <c r="I20" s="23">
        <v>0.05</v>
      </c>
      <c r="J20" s="29"/>
    </row>
    <row r="21" spans="2:12" ht="15" thickBot="1" x14ac:dyDescent="0.35">
      <c r="B21" s="9" t="s">
        <v>113</v>
      </c>
      <c r="C21" s="218" t="s">
        <v>114</v>
      </c>
      <c r="D21" s="219"/>
      <c r="E21" s="30">
        <f>SUM(E10:E20)</f>
        <v>468720</v>
      </c>
      <c r="G21" s="220" t="s">
        <v>115</v>
      </c>
      <c r="H21" s="220"/>
      <c r="I21" s="32" t="s">
        <v>116</v>
      </c>
      <c r="J21" s="33">
        <f>ROUNDDOWN((1+J14+J15)*(1+J16)*(1+J17),2)</f>
        <v>2.52</v>
      </c>
    </row>
    <row r="22" spans="2:12" ht="15" customHeight="1" thickBot="1" x14ac:dyDescent="0.35">
      <c r="B22" s="9" t="s">
        <v>117</v>
      </c>
      <c r="C22" s="230"/>
      <c r="D22" s="231"/>
      <c r="E22" s="34"/>
      <c r="G22" s="220" t="s">
        <v>118</v>
      </c>
      <c r="H22" s="220"/>
      <c r="I22" s="32" t="s">
        <v>119</v>
      </c>
      <c r="J22" s="33">
        <f>ROUND((1+J16)*(1+J17),2)</f>
        <v>1.27</v>
      </c>
    </row>
    <row r="23" spans="2:12" ht="15" customHeight="1" thickBot="1" x14ac:dyDescent="0.35">
      <c r="B23" s="13" t="s">
        <v>96</v>
      </c>
      <c r="C23" s="226" t="s">
        <v>120</v>
      </c>
      <c r="D23" s="226" t="s">
        <v>121</v>
      </c>
      <c r="E23" s="226" t="s">
        <v>93</v>
      </c>
    </row>
    <row r="24" spans="2:12" ht="15" thickBot="1" x14ac:dyDescent="0.35">
      <c r="B24" s="22" t="s">
        <v>122</v>
      </c>
      <c r="C24" s="226"/>
      <c r="D24" s="226"/>
      <c r="E24" s="226"/>
      <c r="G24" s="8" t="s">
        <v>123</v>
      </c>
    </row>
    <row r="25" spans="2:12" ht="15" thickBot="1" x14ac:dyDescent="0.35">
      <c r="B25" s="34" t="s">
        <v>124</v>
      </c>
      <c r="C25" s="72">
        <v>30</v>
      </c>
      <c r="D25" s="73">
        <v>150</v>
      </c>
      <c r="E25" s="19">
        <f>C25*D25</f>
        <v>4500</v>
      </c>
      <c r="G25" s="8" t="s">
        <v>125</v>
      </c>
    </row>
    <row r="26" spans="2:12" ht="15" customHeight="1" thickBot="1" x14ac:dyDescent="0.35">
      <c r="B26" s="34" t="s">
        <v>132</v>
      </c>
      <c r="C26" s="74">
        <v>300</v>
      </c>
      <c r="D26" s="73">
        <v>5</v>
      </c>
      <c r="E26" s="19">
        <f>C26*D26</f>
        <v>1500</v>
      </c>
      <c r="G26" s="37" t="s">
        <v>127</v>
      </c>
      <c r="H26" s="38"/>
      <c r="I26" s="38"/>
      <c r="J26" s="39"/>
      <c r="K26" s="40"/>
    </row>
    <row r="27" spans="2:12" ht="15" thickBot="1" x14ac:dyDescent="0.35">
      <c r="B27" s="34" t="s">
        <v>126</v>
      </c>
      <c r="C27" s="75">
        <v>30</v>
      </c>
      <c r="D27" s="73">
        <v>150</v>
      </c>
      <c r="E27" s="19">
        <f>C27*D27</f>
        <v>4500</v>
      </c>
      <c r="G27" s="34" t="s">
        <v>129</v>
      </c>
      <c r="H27" s="38" t="s">
        <v>130</v>
      </c>
      <c r="I27" s="35"/>
      <c r="J27" s="39">
        <v>3366.25</v>
      </c>
      <c r="K27" s="41">
        <f>I27*J27</f>
        <v>0</v>
      </c>
      <c r="L27" s="42" t="s">
        <v>131</v>
      </c>
    </row>
    <row r="28" spans="2:12" ht="15" thickBot="1" x14ac:dyDescent="0.35">
      <c r="B28" s="31"/>
      <c r="C28" s="43"/>
      <c r="D28" s="44"/>
      <c r="E28" s="19">
        <f t="shared" ref="E28:E37" si="1">C28*D28</f>
        <v>0</v>
      </c>
      <c r="G28" s="34" t="s">
        <v>133</v>
      </c>
      <c r="H28" s="38" t="s">
        <v>130</v>
      </c>
      <c r="I28" s="35"/>
      <c r="J28" s="39">
        <v>3561.89</v>
      </c>
      <c r="K28" s="41">
        <f>I28*J28</f>
        <v>0</v>
      </c>
      <c r="L28" s="42" t="s">
        <v>131</v>
      </c>
    </row>
    <row r="29" spans="2:12" ht="15" thickBot="1" x14ac:dyDescent="0.35">
      <c r="B29" s="31"/>
      <c r="C29" s="43"/>
      <c r="D29" s="44"/>
      <c r="E29" s="19">
        <f t="shared" si="1"/>
        <v>0</v>
      </c>
      <c r="G29" s="34" t="s">
        <v>134</v>
      </c>
      <c r="H29" s="38" t="s">
        <v>130</v>
      </c>
      <c r="I29" s="35"/>
      <c r="J29" s="39">
        <v>5032.54</v>
      </c>
      <c r="K29" s="41">
        <f>I29*J29</f>
        <v>0</v>
      </c>
      <c r="L29" s="42" t="s">
        <v>131</v>
      </c>
    </row>
    <row r="30" spans="2:12" ht="15" thickBot="1" x14ac:dyDescent="0.35">
      <c r="B30" s="31"/>
      <c r="C30" s="43"/>
      <c r="D30" s="44"/>
      <c r="E30" s="19">
        <f t="shared" si="1"/>
        <v>0</v>
      </c>
      <c r="G30" s="34" t="s">
        <v>135</v>
      </c>
      <c r="H30" s="38" t="s">
        <v>130</v>
      </c>
      <c r="I30" s="35"/>
      <c r="J30" s="39">
        <v>6600.51</v>
      </c>
      <c r="K30" s="41">
        <f>I30*J30</f>
        <v>0</v>
      </c>
      <c r="L30" s="42" t="s">
        <v>131</v>
      </c>
    </row>
    <row r="31" spans="2:12" ht="15" thickBot="1" x14ac:dyDescent="0.35">
      <c r="B31" s="31"/>
      <c r="C31" s="43"/>
      <c r="D31" s="44"/>
      <c r="E31" s="19">
        <f t="shared" si="1"/>
        <v>0</v>
      </c>
      <c r="G31" s="34" t="s">
        <v>136</v>
      </c>
      <c r="H31" s="38" t="s">
        <v>130</v>
      </c>
      <c r="I31" s="35"/>
      <c r="J31" s="39">
        <v>11311.06</v>
      </c>
      <c r="K31" s="41">
        <f>I31*J31</f>
        <v>0</v>
      </c>
      <c r="L31" s="42" t="s">
        <v>131</v>
      </c>
    </row>
    <row r="32" spans="2:12" ht="15" thickBot="1" x14ac:dyDescent="0.35">
      <c r="B32" s="31"/>
      <c r="C32" s="43"/>
      <c r="D32" s="44"/>
      <c r="E32" s="19">
        <f t="shared" si="1"/>
        <v>0</v>
      </c>
      <c r="G32" s="34"/>
      <c r="H32" s="38"/>
      <c r="I32" s="35"/>
      <c r="J32" s="39"/>
      <c r="K32" s="41"/>
      <c r="L32" s="45"/>
    </row>
    <row r="33" spans="2:12" ht="15" thickBot="1" x14ac:dyDescent="0.35">
      <c r="B33" s="31"/>
      <c r="C33" s="43"/>
      <c r="D33" s="44"/>
      <c r="E33" s="19">
        <f t="shared" si="1"/>
        <v>0</v>
      </c>
      <c r="G33" s="37" t="s">
        <v>137</v>
      </c>
      <c r="H33" s="38"/>
      <c r="I33" s="35"/>
      <c r="J33" s="39"/>
      <c r="K33" s="41"/>
      <c r="L33" s="45"/>
    </row>
    <row r="34" spans="2:12" ht="15" thickBot="1" x14ac:dyDescent="0.35">
      <c r="B34" s="31"/>
      <c r="C34" s="43"/>
      <c r="D34" s="44"/>
      <c r="E34" s="19">
        <f t="shared" si="1"/>
        <v>0</v>
      </c>
      <c r="G34" s="34" t="s">
        <v>124</v>
      </c>
      <c r="H34" s="38" t="s">
        <v>138</v>
      </c>
      <c r="I34" s="35"/>
      <c r="J34" s="39">
        <v>150</v>
      </c>
      <c r="K34" s="41">
        <f>I34*J34</f>
        <v>0</v>
      </c>
      <c r="L34" s="45" t="s">
        <v>139</v>
      </c>
    </row>
    <row r="35" spans="2:12" ht="15" thickBot="1" x14ac:dyDescent="0.35">
      <c r="B35" s="31"/>
      <c r="C35" s="43"/>
      <c r="D35" s="44"/>
      <c r="E35" s="19">
        <f t="shared" si="1"/>
        <v>0</v>
      </c>
      <c r="G35" s="34" t="s">
        <v>132</v>
      </c>
      <c r="H35" s="38" t="s">
        <v>140</v>
      </c>
      <c r="I35" s="35"/>
      <c r="J35" s="39">
        <v>5</v>
      </c>
      <c r="K35" s="41">
        <f t="shared" ref="K35:K38" si="2">I35*J35</f>
        <v>0</v>
      </c>
      <c r="L35" s="45" t="s">
        <v>139</v>
      </c>
    </row>
    <row r="36" spans="2:12" ht="15" thickBot="1" x14ac:dyDescent="0.35">
      <c r="B36" s="31"/>
      <c r="C36" s="43"/>
      <c r="D36" s="44"/>
      <c r="E36" s="19">
        <f t="shared" si="1"/>
        <v>0</v>
      </c>
      <c r="G36" s="34" t="s">
        <v>141</v>
      </c>
      <c r="H36" s="38" t="s">
        <v>142</v>
      </c>
      <c r="I36" s="35"/>
      <c r="J36" s="39">
        <v>800</v>
      </c>
      <c r="K36" s="41">
        <f t="shared" si="2"/>
        <v>0</v>
      </c>
      <c r="L36" s="45" t="s">
        <v>139</v>
      </c>
    </row>
    <row r="37" spans="2:12" ht="15" thickBot="1" x14ac:dyDescent="0.35">
      <c r="B37" s="31"/>
      <c r="C37" s="43"/>
      <c r="D37" s="44"/>
      <c r="E37" s="19">
        <f t="shared" si="1"/>
        <v>0</v>
      </c>
      <c r="G37" s="34" t="s">
        <v>143</v>
      </c>
      <c r="H37" s="38" t="s">
        <v>142</v>
      </c>
      <c r="I37" s="35"/>
      <c r="J37" s="39">
        <v>1125</v>
      </c>
      <c r="K37" s="41">
        <f t="shared" si="2"/>
        <v>0</v>
      </c>
      <c r="L37" s="45" t="s">
        <v>139</v>
      </c>
    </row>
    <row r="38" spans="2:12" ht="15" thickBot="1" x14ac:dyDescent="0.35">
      <c r="B38" s="46" t="s">
        <v>144</v>
      </c>
      <c r="C38" s="234" t="s">
        <v>145</v>
      </c>
      <c r="D38" s="234"/>
      <c r="E38" s="30">
        <f>SUM(E25:E37)</f>
        <v>10500</v>
      </c>
      <c r="G38" s="34" t="s">
        <v>146</v>
      </c>
      <c r="H38" s="38" t="s">
        <v>142</v>
      </c>
      <c r="I38" s="35"/>
      <c r="J38" s="39">
        <v>1750</v>
      </c>
      <c r="K38" s="41">
        <f t="shared" si="2"/>
        <v>0</v>
      </c>
      <c r="L38" s="45" t="s">
        <v>139</v>
      </c>
    </row>
    <row r="39" spans="2:12" ht="24.75" customHeight="1" thickBot="1" x14ac:dyDescent="0.35">
      <c r="B39" s="22" t="s">
        <v>147</v>
      </c>
      <c r="C39" s="11" t="s">
        <v>120</v>
      </c>
      <c r="D39" s="11" t="s">
        <v>121</v>
      </c>
      <c r="E39" s="47" t="s">
        <v>93</v>
      </c>
      <c r="G39" s="34"/>
      <c r="H39" s="38"/>
      <c r="I39" s="38"/>
      <c r="J39" s="39"/>
      <c r="K39" s="39"/>
      <c r="L39" s="45"/>
    </row>
    <row r="40" spans="2:12" ht="15" thickBot="1" x14ac:dyDescent="0.35">
      <c r="B40" s="34" t="s">
        <v>152</v>
      </c>
      <c r="C40" s="48">
        <v>1</v>
      </c>
      <c r="D40" s="36">
        <v>326.83999999999997</v>
      </c>
      <c r="E40" s="19">
        <f>C40*D40</f>
        <v>326.83999999999997</v>
      </c>
      <c r="G40" s="37" t="s">
        <v>149</v>
      </c>
      <c r="H40" s="38"/>
      <c r="I40" s="38"/>
      <c r="J40" s="39"/>
      <c r="K40" s="40"/>
    </row>
    <row r="41" spans="2:12" ht="15" thickBot="1" x14ac:dyDescent="0.35">
      <c r="B41" s="34" t="s">
        <v>153</v>
      </c>
      <c r="C41" s="48">
        <v>2</v>
      </c>
      <c r="D41" s="36">
        <v>2500</v>
      </c>
      <c r="E41" s="19">
        <f>C41*D41</f>
        <v>5000</v>
      </c>
      <c r="G41" s="34" t="s">
        <v>151</v>
      </c>
      <c r="H41" s="38" t="s">
        <v>130</v>
      </c>
      <c r="I41" s="48"/>
      <c r="J41" s="39">
        <v>1860.06</v>
      </c>
      <c r="K41" s="41">
        <f t="shared" ref="K41:K42" si="3">I41*J41</f>
        <v>0</v>
      </c>
      <c r="L41" s="6" t="s">
        <v>131</v>
      </c>
    </row>
    <row r="42" spans="2:12" ht="15" thickBot="1" x14ac:dyDescent="0.35">
      <c r="B42" s="34" t="s">
        <v>154</v>
      </c>
      <c r="C42" s="48">
        <v>1</v>
      </c>
      <c r="D42" s="36">
        <v>500</v>
      </c>
      <c r="E42" s="19">
        <f t="shared" ref="E42:E53" si="4">C42*D42</f>
        <v>500</v>
      </c>
      <c r="G42" s="34" t="s">
        <v>152</v>
      </c>
      <c r="H42" s="38" t="s">
        <v>130</v>
      </c>
      <c r="I42" s="48"/>
      <c r="J42" s="39">
        <v>326.83999999999997</v>
      </c>
      <c r="K42" s="41">
        <f t="shared" si="3"/>
        <v>0</v>
      </c>
      <c r="L42" s="6" t="s">
        <v>131</v>
      </c>
    </row>
    <row r="43" spans="2:12" ht="15" thickBot="1" x14ac:dyDescent="0.35">
      <c r="B43" s="34" t="s">
        <v>155</v>
      </c>
      <c r="C43" s="48">
        <v>1</v>
      </c>
      <c r="D43" s="36">
        <v>700</v>
      </c>
      <c r="E43" s="19">
        <f t="shared" si="4"/>
        <v>700</v>
      </c>
      <c r="G43" s="34" t="s">
        <v>153</v>
      </c>
      <c r="H43" s="38" t="s">
        <v>142</v>
      </c>
      <c r="I43" s="48"/>
      <c r="J43" s="39">
        <v>2500</v>
      </c>
      <c r="K43" s="41">
        <f>I43*J43</f>
        <v>0</v>
      </c>
      <c r="L43" s="6" t="s">
        <v>139</v>
      </c>
    </row>
    <row r="44" spans="2:12" ht="15" thickBot="1" x14ac:dyDescent="0.35">
      <c r="B44" s="34" t="s">
        <v>148</v>
      </c>
      <c r="C44" s="35">
        <v>24</v>
      </c>
      <c r="D44" s="36">
        <v>1889.72</v>
      </c>
      <c r="E44" s="19">
        <f t="shared" si="4"/>
        <v>45353.279999999999</v>
      </c>
      <c r="G44" s="34" t="s">
        <v>154</v>
      </c>
      <c r="H44" s="38" t="s">
        <v>142</v>
      </c>
      <c r="I44" s="48"/>
      <c r="J44" s="39">
        <v>500</v>
      </c>
      <c r="K44" s="41">
        <f>I44*J44</f>
        <v>0</v>
      </c>
      <c r="L44" s="6" t="s">
        <v>139</v>
      </c>
    </row>
    <row r="45" spans="2:12" ht="15" thickBot="1" x14ac:dyDescent="0.35">
      <c r="B45" s="34" t="s">
        <v>150</v>
      </c>
      <c r="C45" s="35">
        <v>24</v>
      </c>
      <c r="D45" s="36">
        <v>812.73</v>
      </c>
      <c r="E45" s="19">
        <f t="shared" si="4"/>
        <v>19505.52</v>
      </c>
      <c r="G45" s="34" t="s">
        <v>156</v>
      </c>
      <c r="H45" s="38" t="s">
        <v>142</v>
      </c>
      <c r="I45" s="48"/>
      <c r="J45" s="39">
        <v>2500</v>
      </c>
      <c r="K45" s="41">
        <f>I45*J45</f>
        <v>0</v>
      </c>
      <c r="L45" s="6" t="s">
        <v>139</v>
      </c>
    </row>
    <row r="46" spans="2:12" ht="15" thickBot="1" x14ac:dyDescent="0.35">
      <c r="B46" s="31"/>
      <c r="C46" s="44"/>
      <c r="D46" s="44"/>
      <c r="E46" s="19">
        <f t="shared" si="4"/>
        <v>0</v>
      </c>
      <c r="G46" s="34" t="s">
        <v>155</v>
      </c>
      <c r="H46" s="38" t="s">
        <v>142</v>
      </c>
      <c r="I46" s="48"/>
      <c r="J46" s="39">
        <v>700</v>
      </c>
      <c r="K46" s="41">
        <f>I46*J46</f>
        <v>0</v>
      </c>
      <c r="L46" s="6" t="s">
        <v>139</v>
      </c>
    </row>
    <row r="47" spans="2:12" ht="15" thickBot="1" x14ac:dyDescent="0.35">
      <c r="B47" s="31"/>
      <c r="C47" s="44"/>
      <c r="D47" s="44"/>
      <c r="E47" s="19">
        <f t="shared" si="4"/>
        <v>0</v>
      </c>
    </row>
    <row r="48" spans="2:12" ht="15" thickBot="1" x14ac:dyDescent="0.35">
      <c r="B48" s="31"/>
      <c r="C48" s="44"/>
      <c r="D48" s="44"/>
      <c r="E48" s="19">
        <f t="shared" si="4"/>
        <v>0</v>
      </c>
      <c r="G48" s="37" t="s">
        <v>157</v>
      </c>
      <c r="H48" s="38"/>
      <c r="I48" s="38"/>
      <c r="J48" s="39"/>
      <c r="K48" s="40"/>
    </row>
    <row r="49" spans="2:12" ht="15" thickBot="1" x14ac:dyDescent="0.35">
      <c r="B49" s="31"/>
      <c r="C49" s="44"/>
      <c r="D49" s="44"/>
      <c r="E49" s="19">
        <f t="shared" si="4"/>
        <v>0</v>
      </c>
      <c r="G49" s="34" t="s">
        <v>158</v>
      </c>
      <c r="H49" s="38" t="s">
        <v>130</v>
      </c>
      <c r="I49" s="35"/>
      <c r="J49" s="39">
        <v>1889.72</v>
      </c>
      <c r="K49" s="41">
        <f>I49*J49</f>
        <v>0</v>
      </c>
      <c r="L49" s="6" t="s">
        <v>131</v>
      </c>
    </row>
    <row r="50" spans="2:12" ht="15" thickBot="1" x14ac:dyDescent="0.35">
      <c r="B50" s="31"/>
      <c r="C50" s="44"/>
      <c r="D50" s="44"/>
      <c r="E50" s="19">
        <f t="shared" si="4"/>
        <v>0</v>
      </c>
      <c r="G50" s="34" t="s">
        <v>159</v>
      </c>
      <c r="H50" s="38" t="s">
        <v>130</v>
      </c>
      <c r="I50" s="35"/>
      <c r="J50" s="39">
        <v>2167.38</v>
      </c>
      <c r="K50" s="41">
        <f>I50*J50</f>
        <v>0</v>
      </c>
      <c r="L50" s="6" t="s">
        <v>131</v>
      </c>
    </row>
    <row r="51" spans="2:12" ht="15" thickBot="1" x14ac:dyDescent="0.35">
      <c r="B51" s="31"/>
      <c r="C51" s="44"/>
      <c r="D51" s="44"/>
      <c r="E51" s="19">
        <f t="shared" si="4"/>
        <v>0</v>
      </c>
      <c r="G51" s="34" t="s">
        <v>160</v>
      </c>
      <c r="H51" s="38" t="s">
        <v>130</v>
      </c>
      <c r="I51" s="35"/>
      <c r="J51" s="39">
        <v>1896.45</v>
      </c>
      <c r="K51" s="41">
        <f>I51*J51</f>
        <v>0</v>
      </c>
      <c r="L51" s="6" t="s">
        <v>131</v>
      </c>
    </row>
    <row r="52" spans="2:12" ht="15" thickBot="1" x14ac:dyDescent="0.35">
      <c r="B52" s="31"/>
      <c r="C52" s="44"/>
      <c r="D52" s="44"/>
      <c r="E52" s="19">
        <f t="shared" si="4"/>
        <v>0</v>
      </c>
    </row>
    <row r="53" spans="2:12" ht="15" thickBot="1" x14ac:dyDescent="0.35">
      <c r="B53" s="31"/>
      <c r="C53" s="44"/>
      <c r="D53" s="44"/>
      <c r="E53" s="19">
        <f t="shared" si="4"/>
        <v>0</v>
      </c>
      <c r="G53" s="37" t="s">
        <v>161</v>
      </c>
      <c r="H53" s="38"/>
      <c r="I53" s="38"/>
      <c r="J53" s="39"/>
      <c r="K53" s="40"/>
    </row>
    <row r="54" spans="2:12" ht="15" thickBot="1" x14ac:dyDescent="0.35">
      <c r="B54" s="49" t="s">
        <v>162</v>
      </c>
      <c r="C54" s="236" t="s">
        <v>163</v>
      </c>
      <c r="D54" s="237"/>
      <c r="E54" s="50">
        <f>SUM(E40:E53)</f>
        <v>71385.64</v>
      </c>
      <c r="G54" s="34" t="s">
        <v>164</v>
      </c>
      <c r="H54" s="38" t="s">
        <v>130</v>
      </c>
      <c r="I54" s="35"/>
      <c r="J54" s="39">
        <v>812.73</v>
      </c>
      <c r="K54" s="41">
        <f>I54*J54</f>
        <v>0</v>
      </c>
      <c r="L54" s="6" t="s">
        <v>131</v>
      </c>
    </row>
    <row r="55" spans="2:12" x14ac:dyDescent="0.3">
      <c r="B55" s="238" t="s">
        <v>165</v>
      </c>
      <c r="C55" s="239"/>
      <c r="D55" s="51" t="s">
        <v>166</v>
      </c>
      <c r="E55" s="52">
        <f>E38+E54</f>
        <v>81885.64</v>
      </c>
      <c r="G55" s="34" t="s">
        <v>167</v>
      </c>
      <c r="H55" s="38" t="s">
        <v>130</v>
      </c>
      <c r="I55" s="35"/>
      <c r="J55" s="39">
        <v>677.3</v>
      </c>
      <c r="K55" s="41">
        <f>I55*J55</f>
        <v>0</v>
      </c>
      <c r="L55" s="6" t="s">
        <v>131</v>
      </c>
    </row>
    <row r="56" spans="2:12" x14ac:dyDescent="0.3">
      <c r="B56" s="53" t="s">
        <v>168</v>
      </c>
      <c r="C56" s="34"/>
      <c r="D56" s="34"/>
      <c r="E56" s="34"/>
      <c r="G56" s="34"/>
      <c r="H56" s="38"/>
      <c r="I56" s="38"/>
      <c r="J56" s="39"/>
      <c r="K56" s="39"/>
    </row>
    <row r="57" spans="2:12" ht="15" thickBot="1" x14ac:dyDescent="0.35">
      <c r="B57" s="240" t="s">
        <v>169</v>
      </c>
      <c r="C57" s="241"/>
      <c r="D57" s="54" t="s">
        <v>170</v>
      </c>
      <c r="E57" s="55">
        <f>J21*E21</f>
        <v>1181174.3999999999</v>
      </c>
      <c r="G57" s="37" t="s">
        <v>171</v>
      </c>
      <c r="H57" s="38"/>
      <c r="I57" s="38"/>
      <c r="J57" s="39"/>
      <c r="K57" s="40"/>
    </row>
    <row r="58" spans="2:12" ht="15" thickBot="1" x14ac:dyDescent="0.35">
      <c r="B58" s="230" t="s">
        <v>172</v>
      </c>
      <c r="C58" s="232"/>
      <c r="D58" s="56" t="s">
        <v>173</v>
      </c>
      <c r="E58" s="57">
        <f>E55*J22</f>
        <v>103994.7628</v>
      </c>
      <c r="G58" s="34" t="s">
        <v>126</v>
      </c>
      <c r="H58" s="38" t="s">
        <v>138</v>
      </c>
      <c r="I58" s="35"/>
      <c r="J58" s="39">
        <v>150</v>
      </c>
      <c r="K58" s="41">
        <f>I58*J58</f>
        <v>0</v>
      </c>
      <c r="L58" s="6" t="s">
        <v>139</v>
      </c>
    </row>
    <row r="59" spans="2:12" ht="15" thickBot="1" x14ac:dyDescent="0.35">
      <c r="B59" s="13" t="s">
        <v>174</v>
      </c>
      <c r="C59" s="15"/>
      <c r="D59" s="58"/>
      <c r="E59" s="30">
        <f>E58+E57</f>
        <v>1285169.1627999998</v>
      </c>
      <c r="G59" s="34" t="s">
        <v>128</v>
      </c>
      <c r="H59" s="38" t="s">
        <v>138</v>
      </c>
      <c r="I59" s="35"/>
      <c r="J59" s="39">
        <v>60</v>
      </c>
      <c r="K59" s="41">
        <f>I59*J59</f>
        <v>0</v>
      </c>
      <c r="L59" s="6" t="s">
        <v>139</v>
      </c>
    </row>
    <row r="61" spans="2:12" ht="14.4" customHeight="1" x14ac:dyDescent="0.3">
      <c r="B61" s="233" t="s">
        <v>175</v>
      </c>
      <c r="C61" s="233"/>
      <c r="D61" s="233"/>
      <c r="E61" s="233"/>
      <c r="F61" s="59"/>
      <c r="G61" s="60" t="s">
        <v>176</v>
      </c>
    </row>
    <row r="62" spans="2:12" ht="15.6" customHeight="1" x14ac:dyDescent="0.3">
      <c r="B62" s="233"/>
      <c r="C62" s="233"/>
      <c r="D62" s="233"/>
      <c r="E62" s="233"/>
      <c r="F62" s="61"/>
      <c r="G62" s="62" t="s">
        <v>177</v>
      </c>
      <c r="H62" s="63"/>
      <c r="I62" s="64"/>
      <c r="J62" s="64"/>
    </row>
    <row r="63" spans="2:12" ht="15.6" customHeight="1" x14ac:dyDescent="0.3">
      <c r="B63" s="233"/>
      <c r="C63" s="233"/>
      <c r="D63" s="233"/>
      <c r="E63" s="233"/>
      <c r="F63" s="61"/>
      <c r="G63" s="65" t="s">
        <v>178</v>
      </c>
      <c r="H63" s="66" t="s">
        <v>179</v>
      </c>
      <c r="I63" s="67" t="s">
        <v>180</v>
      </c>
      <c r="J63" s="67" t="s">
        <v>181</v>
      </c>
    </row>
    <row r="64" spans="2:12" ht="20.399999999999999" customHeight="1" x14ac:dyDescent="0.3">
      <c r="B64" s="233"/>
      <c r="C64" s="233"/>
      <c r="D64" s="233"/>
      <c r="E64" s="233"/>
      <c r="F64" s="61"/>
      <c r="G64" s="68" t="s">
        <v>182</v>
      </c>
      <c r="H64" s="69">
        <v>508.38</v>
      </c>
      <c r="I64" s="69">
        <v>433.49</v>
      </c>
      <c r="J64" s="69">
        <v>381.14</v>
      </c>
    </row>
    <row r="65" spans="2:10" ht="20.399999999999999" customHeight="1" x14ac:dyDescent="0.3">
      <c r="B65" s="233"/>
      <c r="C65" s="233"/>
      <c r="D65" s="233"/>
      <c r="E65" s="233"/>
      <c r="F65" s="61"/>
      <c r="G65" s="68" t="s">
        <v>183</v>
      </c>
      <c r="H65" s="69">
        <v>455</v>
      </c>
      <c r="I65" s="69">
        <v>387.86</v>
      </c>
      <c r="J65" s="69">
        <v>341.02</v>
      </c>
    </row>
    <row r="66" spans="2:10" ht="20.399999999999999" customHeight="1" x14ac:dyDescent="0.3">
      <c r="B66" s="233"/>
      <c r="C66" s="233"/>
      <c r="D66" s="233"/>
      <c r="E66" s="233"/>
      <c r="F66" s="61"/>
      <c r="G66" s="68" t="s">
        <v>184</v>
      </c>
      <c r="H66" s="69">
        <v>401.61</v>
      </c>
      <c r="I66" s="69">
        <v>342.23</v>
      </c>
      <c r="J66" s="69">
        <v>300.89999999999998</v>
      </c>
    </row>
    <row r="67" spans="2:10" ht="45.6" customHeight="1" x14ac:dyDescent="0.3">
      <c r="B67" s="233"/>
      <c r="C67" s="233"/>
      <c r="D67" s="233"/>
      <c r="E67" s="233"/>
      <c r="F67" s="61"/>
      <c r="G67" s="233" t="s">
        <v>185</v>
      </c>
      <c r="H67" s="233"/>
      <c r="I67" s="233"/>
      <c r="J67" s="233"/>
    </row>
    <row r="68" spans="2:10" ht="42" customHeight="1" x14ac:dyDescent="0.3">
      <c r="B68" s="235" t="s">
        <v>186</v>
      </c>
      <c r="C68" s="235"/>
      <c r="D68" s="235"/>
      <c r="E68" s="235"/>
      <c r="F68" s="235"/>
    </row>
    <row r="69" spans="2:10" ht="37.950000000000003" customHeight="1" x14ac:dyDescent="0.3">
      <c r="B69" s="235" t="s">
        <v>187</v>
      </c>
      <c r="C69" s="235"/>
      <c r="D69" s="235"/>
      <c r="E69" s="235"/>
      <c r="F69" s="235"/>
    </row>
    <row r="70" spans="2:10" x14ac:dyDescent="0.3">
      <c r="B70" s="70" t="s">
        <v>188</v>
      </c>
      <c r="C70" s="71"/>
      <c r="D70" s="71"/>
      <c r="E70" s="71"/>
      <c r="F70" s="71"/>
    </row>
    <row r="71" spans="2:10" x14ac:dyDescent="0.3">
      <c r="B71" s="70" t="s">
        <v>189</v>
      </c>
      <c r="C71" s="71"/>
      <c r="D71" s="71"/>
      <c r="E71" s="71"/>
      <c r="F71" s="71"/>
    </row>
    <row r="72" spans="2:10" x14ac:dyDescent="0.3">
      <c r="B72" s="70" t="s">
        <v>190</v>
      </c>
      <c r="C72" s="71"/>
      <c r="D72" s="71"/>
      <c r="E72" s="71"/>
      <c r="F72" s="71"/>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7" right="0.7" top="0.75" bottom="0.75" header="0.3" footer="0.3"/>
  <pageSetup paperSize="9" scale="43"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A1FA7-FDBB-47A6-84C3-7B0FF0369689}">
  <dimension ref="A1:N84"/>
  <sheetViews>
    <sheetView workbookViewId="0">
      <selection activeCell="E59" sqref="E59"/>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195</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192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24*80</f>
        <v>1920</v>
      </c>
      <c r="D10" s="18">
        <v>118.66</v>
      </c>
      <c r="E10" s="19">
        <f>D10*C10</f>
        <v>227827.19999999998</v>
      </c>
      <c r="F10" s="6"/>
      <c r="G10" s="13" t="s">
        <v>98</v>
      </c>
      <c r="H10" s="11">
        <v>24.75</v>
      </c>
      <c r="I10" s="6"/>
      <c r="J10" s="6"/>
      <c r="K10" s="6"/>
      <c r="L10" s="6"/>
      <c r="M10" s="6"/>
      <c r="N10" s="6"/>
    </row>
    <row r="11" spans="1:14" ht="15" thickBot="1" x14ac:dyDescent="0.35">
      <c r="A11" s="6"/>
      <c r="B11" s="15" t="s">
        <v>99</v>
      </c>
      <c r="C11" s="18">
        <f>24*100</f>
        <v>2400</v>
      </c>
      <c r="D11" s="20">
        <v>83.05</v>
      </c>
      <c r="E11" s="19">
        <f>D11*C11</f>
        <v>199320</v>
      </c>
      <c r="F11" s="6"/>
      <c r="G11" s="6"/>
      <c r="H11" s="21"/>
      <c r="I11" s="6"/>
      <c r="J11" s="6"/>
      <c r="K11" s="6"/>
      <c r="L11" s="6"/>
      <c r="M11" s="6"/>
      <c r="N11" s="6"/>
    </row>
    <row r="12" spans="1:14" ht="15" thickBot="1" x14ac:dyDescent="0.35">
      <c r="A12" s="6"/>
      <c r="B12" s="13" t="s">
        <v>257</v>
      </c>
      <c r="C12" s="18">
        <f>24*100*2</f>
        <v>4800</v>
      </c>
      <c r="D12" s="20">
        <v>69.42</v>
      </c>
      <c r="E12" s="19">
        <f>D12*C12</f>
        <v>333216</v>
      </c>
      <c r="F12" s="6"/>
      <c r="G12" s="6"/>
      <c r="H12" s="6"/>
      <c r="I12" s="6"/>
      <c r="J12" s="6"/>
      <c r="K12" s="6"/>
      <c r="L12" s="6"/>
      <c r="M12" s="6"/>
      <c r="N12" s="6"/>
    </row>
    <row r="13" spans="1:14" ht="15" thickBot="1" x14ac:dyDescent="0.35">
      <c r="A13" s="6"/>
      <c r="B13" s="15" t="s">
        <v>258</v>
      </c>
      <c r="C13" s="18">
        <f>24*160*2</f>
        <v>7680</v>
      </c>
      <c r="D13" s="20">
        <v>40.56</v>
      </c>
      <c r="E13" s="19">
        <f>D13*C13</f>
        <v>311500.80000000005</v>
      </c>
      <c r="F13" s="6"/>
      <c r="G13" s="227" t="s">
        <v>102</v>
      </c>
      <c r="H13" s="228"/>
      <c r="I13" s="229"/>
      <c r="J13" s="11" t="s">
        <v>103</v>
      </c>
      <c r="K13" s="6"/>
      <c r="L13" s="6"/>
      <c r="M13" s="6"/>
      <c r="N13" s="6"/>
    </row>
    <row r="14" spans="1:14" ht="15" thickBot="1" x14ac:dyDescent="0.35">
      <c r="A14" s="6"/>
      <c r="B14" s="15" t="s">
        <v>104</v>
      </c>
      <c r="C14" s="18">
        <f>24*160</f>
        <v>3840</v>
      </c>
      <c r="D14" s="20">
        <v>31.5</v>
      </c>
      <c r="E14" s="19">
        <f>D14*C14</f>
        <v>120960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1192824</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72">
        <v>100</v>
      </c>
      <c r="D25" s="73">
        <v>150</v>
      </c>
      <c r="E25" s="19">
        <f>C25*D25</f>
        <v>15000</v>
      </c>
      <c r="F25" s="6"/>
      <c r="G25" s="8" t="s">
        <v>125</v>
      </c>
      <c r="H25" s="6"/>
      <c r="I25" s="6"/>
      <c r="J25" s="6"/>
      <c r="K25" s="6"/>
      <c r="L25" s="6"/>
      <c r="M25" s="6"/>
      <c r="N25" s="6"/>
    </row>
    <row r="26" spans="1:14" ht="15" thickBot="1" x14ac:dyDescent="0.35">
      <c r="A26" s="6"/>
      <c r="B26" s="34" t="s">
        <v>132</v>
      </c>
      <c r="C26" s="74">
        <v>1000</v>
      </c>
      <c r="D26" s="73">
        <v>5</v>
      </c>
      <c r="E26" s="19">
        <f>C26*D26</f>
        <v>5000</v>
      </c>
      <c r="F26" s="6"/>
      <c r="G26" s="37" t="s">
        <v>127</v>
      </c>
      <c r="H26" s="38"/>
      <c r="I26" s="38"/>
      <c r="J26" s="39"/>
      <c r="K26" s="40"/>
      <c r="L26" s="6"/>
      <c r="M26" s="6"/>
      <c r="N26" s="6"/>
    </row>
    <row r="27" spans="1:14" ht="15" thickBot="1" x14ac:dyDescent="0.35">
      <c r="A27" s="6"/>
      <c r="B27" s="34" t="s">
        <v>126</v>
      </c>
      <c r="C27" s="75">
        <v>100</v>
      </c>
      <c r="D27" s="73">
        <v>150</v>
      </c>
      <c r="E27" s="19">
        <f>C27*D27</f>
        <v>15000</v>
      </c>
      <c r="F27" s="6"/>
      <c r="G27" s="34" t="s">
        <v>129</v>
      </c>
      <c r="H27" s="38" t="s">
        <v>130</v>
      </c>
      <c r="I27" s="35"/>
      <c r="J27" s="39">
        <v>3366.25</v>
      </c>
      <c r="K27" s="41">
        <f>I27*J27</f>
        <v>0</v>
      </c>
      <c r="L27" s="42" t="s">
        <v>131</v>
      </c>
      <c r="M27" s="6"/>
      <c r="N27" s="6"/>
    </row>
    <row r="28" spans="1:14" ht="15" thickBot="1" x14ac:dyDescent="0.35">
      <c r="A28" s="6"/>
      <c r="B28" s="34" t="s">
        <v>128</v>
      </c>
      <c r="C28" s="93">
        <v>100</v>
      </c>
      <c r="D28" s="73">
        <v>60</v>
      </c>
      <c r="E28" s="19">
        <f t="shared" ref="E28:E37" si="1">C28*D28</f>
        <v>6000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41000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t="s">
        <v>152</v>
      </c>
      <c r="C40" s="48">
        <v>1</v>
      </c>
      <c r="D40" s="36">
        <v>326.83999999999997</v>
      </c>
      <c r="E40" s="19">
        <f>C40*D40</f>
        <v>326.83999999999997</v>
      </c>
      <c r="F40" s="6"/>
      <c r="G40" s="37" t="s">
        <v>149</v>
      </c>
      <c r="H40" s="38"/>
      <c r="I40" s="38"/>
      <c r="J40" s="39"/>
      <c r="K40" s="40"/>
      <c r="L40" s="6"/>
      <c r="M40" s="6"/>
      <c r="N40" s="6"/>
    </row>
    <row r="41" spans="1:14" ht="15" thickBot="1" x14ac:dyDescent="0.35">
      <c r="A41" s="6"/>
      <c r="B41" s="34" t="s">
        <v>153</v>
      </c>
      <c r="C41" s="48">
        <v>2</v>
      </c>
      <c r="D41" s="36">
        <v>2500</v>
      </c>
      <c r="E41" s="19">
        <f>C41*D41</f>
        <v>5000</v>
      </c>
      <c r="F41" s="6"/>
      <c r="G41" s="34" t="s">
        <v>151</v>
      </c>
      <c r="H41" s="38" t="s">
        <v>130</v>
      </c>
      <c r="I41" s="48"/>
      <c r="J41" s="39">
        <v>1860.06</v>
      </c>
      <c r="K41" s="41">
        <f t="shared" ref="K41:K42" si="3">I41*J41</f>
        <v>0</v>
      </c>
      <c r="L41" s="6" t="s">
        <v>131</v>
      </c>
      <c r="M41" s="6"/>
      <c r="N41" s="6"/>
    </row>
    <row r="42" spans="1:14" ht="15" thickBot="1" x14ac:dyDescent="0.35">
      <c r="A42" s="6"/>
      <c r="B42" s="34" t="s">
        <v>154</v>
      </c>
      <c r="C42" s="48">
        <v>1</v>
      </c>
      <c r="D42" s="36">
        <v>500</v>
      </c>
      <c r="E42" s="19">
        <f t="shared" ref="E42:E53" si="4">C42*D42</f>
        <v>500</v>
      </c>
      <c r="F42" s="6"/>
      <c r="G42" s="34" t="s">
        <v>152</v>
      </c>
      <c r="H42" s="38" t="s">
        <v>130</v>
      </c>
      <c r="I42" s="48"/>
      <c r="J42" s="39">
        <v>326.83999999999997</v>
      </c>
      <c r="K42" s="41">
        <f t="shared" si="3"/>
        <v>0</v>
      </c>
      <c r="L42" s="6" t="s">
        <v>131</v>
      </c>
      <c r="M42" s="6"/>
      <c r="N42" s="6"/>
    </row>
    <row r="43" spans="1:14" ht="15" thickBot="1" x14ac:dyDescent="0.35">
      <c r="A43" s="6"/>
      <c r="B43" s="34" t="s">
        <v>155</v>
      </c>
      <c r="C43" s="48">
        <v>1</v>
      </c>
      <c r="D43" s="36">
        <v>700</v>
      </c>
      <c r="E43" s="19">
        <f t="shared" si="4"/>
        <v>700</v>
      </c>
      <c r="F43" s="6"/>
      <c r="G43" s="34" t="s">
        <v>153</v>
      </c>
      <c r="H43" s="38" t="s">
        <v>142</v>
      </c>
      <c r="I43" s="48"/>
      <c r="J43" s="39">
        <v>2500</v>
      </c>
      <c r="K43" s="41">
        <f>I43*J43</f>
        <v>0</v>
      </c>
      <c r="L43" s="6" t="s">
        <v>139</v>
      </c>
      <c r="M43" s="6"/>
      <c r="N43" s="6"/>
    </row>
    <row r="44" spans="1:14" ht="15" thickBot="1" x14ac:dyDescent="0.35">
      <c r="A44" s="6"/>
      <c r="B44" s="34" t="s">
        <v>148</v>
      </c>
      <c r="C44" s="35">
        <v>12</v>
      </c>
      <c r="D44" s="36">
        <v>1889.72</v>
      </c>
      <c r="E44" s="19">
        <f t="shared" si="4"/>
        <v>22676.639999999999</v>
      </c>
      <c r="F44" s="6"/>
      <c r="G44" s="34" t="s">
        <v>154</v>
      </c>
      <c r="H44" s="38" t="s">
        <v>142</v>
      </c>
      <c r="I44" s="48"/>
      <c r="J44" s="39">
        <v>500</v>
      </c>
      <c r="K44" s="41">
        <f>I44*J44</f>
        <v>0</v>
      </c>
      <c r="L44" s="6" t="s">
        <v>139</v>
      </c>
      <c r="M44" s="6"/>
      <c r="N44" s="6"/>
    </row>
    <row r="45" spans="1:14" ht="15" thickBot="1" x14ac:dyDescent="0.35">
      <c r="A45" s="6"/>
      <c r="B45" s="34" t="s">
        <v>150</v>
      </c>
      <c r="C45" s="35">
        <v>12</v>
      </c>
      <c r="D45" s="36">
        <v>812.73</v>
      </c>
      <c r="E45" s="19">
        <f t="shared" si="4"/>
        <v>9752.76</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38956.239999999998</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79956.239999999991</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3005916.48</v>
      </c>
      <c r="F57" s="6"/>
      <c r="G57" s="37" t="s">
        <v>171</v>
      </c>
      <c r="H57" s="38"/>
      <c r="I57" s="38"/>
      <c r="J57" s="39"/>
      <c r="K57" s="40"/>
      <c r="L57" s="6"/>
      <c r="M57" s="6"/>
      <c r="N57" s="6"/>
    </row>
    <row r="58" spans="1:14" ht="15" thickBot="1" x14ac:dyDescent="0.35">
      <c r="A58" s="6"/>
      <c r="B58" s="230" t="s">
        <v>172</v>
      </c>
      <c r="C58" s="232"/>
      <c r="D58" s="56" t="s">
        <v>173</v>
      </c>
      <c r="E58" s="57">
        <f>E55*J22</f>
        <v>101544.42479999999</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3107460.9048000001</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row r="73" spans="1:14" x14ac:dyDescent="0.3">
      <c r="A73" s="6"/>
      <c r="B73" s="6"/>
      <c r="C73" s="6"/>
      <c r="D73" s="6"/>
      <c r="E73" s="6"/>
      <c r="F73" s="6"/>
      <c r="G73" s="6"/>
      <c r="H73" s="6"/>
      <c r="I73" s="6"/>
      <c r="J73" s="6"/>
      <c r="K73" s="6"/>
      <c r="L73" s="6"/>
      <c r="M73" s="6"/>
      <c r="N73" s="6"/>
    </row>
    <row r="74" spans="1:14" x14ac:dyDescent="0.3">
      <c r="A74" s="6"/>
      <c r="B74" s="6"/>
      <c r="C74" s="6"/>
      <c r="D74" s="6"/>
      <c r="E74" s="6"/>
      <c r="F74" s="6"/>
      <c r="G74" s="6"/>
      <c r="H74" s="6"/>
      <c r="I74" s="6"/>
      <c r="J74" s="6"/>
      <c r="K74" s="6"/>
      <c r="L74" s="6"/>
      <c r="M74" s="6"/>
      <c r="N74" s="6"/>
    </row>
    <row r="75" spans="1:14" x14ac:dyDescent="0.3">
      <c r="A75" s="6"/>
      <c r="B75" s="6"/>
      <c r="C75" s="6"/>
      <c r="D75" s="6"/>
      <c r="E75" s="6"/>
      <c r="F75" s="6"/>
      <c r="G75" s="6"/>
      <c r="H75" s="6"/>
      <c r="I75" s="6"/>
      <c r="J75" s="6"/>
      <c r="K75" s="6"/>
      <c r="L75" s="6"/>
      <c r="M75" s="6"/>
      <c r="N75" s="6"/>
    </row>
    <row r="76" spans="1:14" x14ac:dyDescent="0.3">
      <c r="A76" s="6"/>
      <c r="B76" s="6"/>
      <c r="C76" s="6"/>
      <c r="D76" s="6"/>
      <c r="E76" s="6"/>
      <c r="F76" s="6"/>
      <c r="G76" s="6"/>
      <c r="H76" s="6"/>
      <c r="I76" s="6"/>
      <c r="J76" s="6"/>
      <c r="K76" s="6"/>
      <c r="L76" s="6"/>
      <c r="M76" s="6"/>
      <c r="N76" s="6"/>
    </row>
    <row r="77" spans="1:14" x14ac:dyDescent="0.3">
      <c r="A77" s="6"/>
      <c r="B77" s="6"/>
      <c r="C77" s="6"/>
      <c r="D77" s="6"/>
      <c r="E77" s="6"/>
      <c r="F77" s="6"/>
      <c r="G77" s="6"/>
      <c r="H77" s="6"/>
      <c r="I77" s="6"/>
      <c r="J77" s="6"/>
      <c r="K77" s="6"/>
      <c r="L77" s="6"/>
      <c r="M77" s="6"/>
      <c r="N77" s="6"/>
    </row>
    <row r="78" spans="1:14" x14ac:dyDescent="0.3">
      <c r="A78" s="6"/>
      <c r="B78" s="6"/>
      <c r="C78" s="6"/>
      <c r="D78" s="6"/>
      <c r="E78" s="6"/>
      <c r="F78" s="6"/>
      <c r="G78" s="6"/>
      <c r="H78" s="6"/>
      <c r="I78" s="6"/>
      <c r="J78" s="6"/>
      <c r="K78" s="6"/>
      <c r="L78" s="6"/>
      <c r="M78" s="6"/>
      <c r="N78" s="6"/>
    </row>
    <row r="79" spans="1:14" x14ac:dyDescent="0.3">
      <c r="A79" s="6"/>
      <c r="B79" s="6"/>
      <c r="C79" s="6"/>
      <c r="D79" s="6"/>
      <c r="E79" s="6"/>
      <c r="F79" s="6"/>
      <c r="G79" s="6"/>
      <c r="H79" s="6"/>
      <c r="I79" s="6"/>
      <c r="J79" s="6"/>
      <c r="K79" s="6"/>
      <c r="L79" s="6"/>
      <c r="M79" s="6"/>
      <c r="N79" s="6"/>
    </row>
    <row r="80" spans="1:14" x14ac:dyDescent="0.3">
      <c r="A80" s="6"/>
      <c r="B80" s="6"/>
      <c r="C80" s="6"/>
      <c r="D80" s="6"/>
      <c r="E80" s="6"/>
      <c r="F80" s="6"/>
      <c r="G80" s="6"/>
      <c r="H80" s="6"/>
      <c r="I80" s="6"/>
      <c r="J80" s="6"/>
      <c r="K80" s="6"/>
      <c r="L80" s="6"/>
      <c r="M80" s="6"/>
      <c r="N80" s="6"/>
    </row>
    <row r="81" spans="1:14" x14ac:dyDescent="0.3">
      <c r="A81" s="6"/>
      <c r="B81" s="6"/>
      <c r="C81" s="6"/>
      <c r="D81" s="6"/>
      <c r="E81" s="6"/>
      <c r="F81" s="6"/>
      <c r="G81" s="6"/>
      <c r="H81" s="6"/>
      <c r="I81" s="6"/>
      <c r="J81" s="6"/>
      <c r="K81" s="6"/>
      <c r="L81" s="6"/>
      <c r="M81" s="6"/>
      <c r="N81" s="6"/>
    </row>
    <row r="82" spans="1:14" x14ac:dyDescent="0.3">
      <c r="A82" s="6"/>
      <c r="B82" s="6"/>
      <c r="C82" s="6"/>
      <c r="D82" s="6"/>
      <c r="E82" s="6"/>
      <c r="F82" s="6"/>
      <c r="G82" s="6"/>
      <c r="H82" s="6"/>
      <c r="I82" s="6"/>
      <c r="J82" s="6"/>
      <c r="K82" s="6"/>
      <c r="L82" s="6"/>
      <c r="M82" s="6"/>
      <c r="N82" s="6"/>
    </row>
    <row r="83" spans="1:14" x14ac:dyDescent="0.3">
      <c r="A83" s="6"/>
      <c r="B83" s="6"/>
      <c r="C83" s="6"/>
      <c r="D83" s="6"/>
      <c r="E83" s="6"/>
      <c r="F83" s="6"/>
      <c r="G83" s="6"/>
      <c r="H83" s="6"/>
      <c r="I83" s="6"/>
      <c r="J83" s="6"/>
      <c r="K83" s="6"/>
      <c r="L83" s="6"/>
      <c r="M83" s="6"/>
      <c r="N83" s="6"/>
    </row>
    <row r="84" spans="1:14" x14ac:dyDescent="0.3">
      <c r="A84" s="6"/>
      <c r="B84" s="6"/>
      <c r="C84" s="6"/>
      <c r="D84" s="6"/>
      <c r="E84" s="6"/>
      <c r="F84" s="6"/>
      <c r="G84" s="6"/>
      <c r="H84" s="6"/>
      <c r="I84" s="6"/>
      <c r="J84" s="6"/>
      <c r="K84" s="6"/>
      <c r="L84" s="6"/>
      <c r="M84" s="6"/>
      <c r="N84"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176D6-B2BA-4C11-9A87-66DC2E0FB784}">
  <dimension ref="A1:N44"/>
  <sheetViews>
    <sheetView showGridLines="0" topLeftCell="A20" workbookViewId="0">
      <selection activeCell="A27" sqref="A27:XFD27"/>
    </sheetView>
  </sheetViews>
  <sheetFormatPr defaultRowHeight="14.4" x14ac:dyDescent="0.3"/>
  <cols>
    <col min="1" max="1" width="21.109375" customWidth="1"/>
    <col min="2" max="2" width="17" customWidth="1"/>
    <col min="3" max="3" width="21.33203125" customWidth="1"/>
    <col min="4" max="4" width="20.88671875" customWidth="1"/>
    <col min="5" max="5" width="14.33203125" customWidth="1"/>
    <col min="6" max="6" width="17.88671875" customWidth="1"/>
    <col min="7" max="8" width="18.109375" customWidth="1"/>
    <col min="9" max="9" width="5.33203125" customWidth="1"/>
    <col min="10" max="10" width="30.21875" bestFit="1" customWidth="1"/>
    <col min="11" max="11" width="10.33203125" style="109" bestFit="1" customWidth="1"/>
    <col min="12" max="12" width="11.44140625" customWidth="1"/>
    <col min="13" max="13" width="19.6640625" customWidth="1"/>
    <col min="14" max="14" width="18" bestFit="1" customWidth="1"/>
  </cols>
  <sheetData>
    <row r="1" spans="1:8" x14ac:dyDescent="0.3">
      <c r="A1" s="193" t="s">
        <v>861</v>
      </c>
    </row>
    <row r="2" spans="1:8" ht="15" thickBot="1" x14ac:dyDescent="0.35">
      <c r="A2" s="193"/>
    </row>
    <row r="3" spans="1:8" ht="15" thickBot="1" x14ac:dyDescent="0.35">
      <c r="A3" s="184" t="s">
        <v>777</v>
      </c>
      <c r="B3" s="185" t="s">
        <v>778</v>
      </c>
      <c r="C3" s="185" t="s">
        <v>779</v>
      </c>
      <c r="D3" s="186" t="s">
        <v>780</v>
      </c>
      <c r="E3" s="186" t="s">
        <v>781</v>
      </c>
      <c r="F3" s="186" t="s">
        <v>782</v>
      </c>
      <c r="G3" s="186" t="s">
        <v>783</v>
      </c>
      <c r="H3" s="185" t="s">
        <v>784</v>
      </c>
    </row>
    <row r="4" spans="1:8" ht="15" thickBot="1" x14ac:dyDescent="0.35">
      <c r="A4" s="187" t="s">
        <v>785</v>
      </c>
      <c r="B4" s="188" t="s">
        <v>786</v>
      </c>
      <c r="C4" s="189" t="s">
        <v>227</v>
      </c>
      <c r="D4" s="190" t="s">
        <v>787</v>
      </c>
      <c r="E4" s="190" t="s">
        <v>788</v>
      </c>
      <c r="F4" s="190" t="s">
        <v>789</v>
      </c>
      <c r="G4" s="191">
        <v>0.3</v>
      </c>
      <c r="H4" s="190" t="s">
        <v>790</v>
      </c>
    </row>
    <row r="5" spans="1:8" ht="15" thickBot="1" x14ac:dyDescent="0.35">
      <c r="A5" s="187" t="s">
        <v>791</v>
      </c>
      <c r="B5" s="188" t="s">
        <v>792</v>
      </c>
      <c r="C5" s="189" t="s">
        <v>233</v>
      </c>
      <c r="D5" s="190" t="s">
        <v>302</v>
      </c>
      <c r="E5" s="190" t="s">
        <v>74</v>
      </c>
      <c r="F5" s="189" t="s">
        <v>793</v>
      </c>
      <c r="G5" s="191">
        <v>22.67</v>
      </c>
      <c r="H5" s="190" t="s">
        <v>794</v>
      </c>
    </row>
    <row r="6" spans="1:8" ht="15" thickBot="1" x14ac:dyDescent="0.35">
      <c r="A6" s="187" t="s">
        <v>795</v>
      </c>
      <c r="B6" s="188" t="s">
        <v>796</v>
      </c>
      <c r="C6" s="189" t="s">
        <v>234</v>
      </c>
      <c r="D6" s="190" t="s">
        <v>302</v>
      </c>
      <c r="E6" s="190" t="s">
        <v>74</v>
      </c>
      <c r="F6" s="190" t="s">
        <v>797</v>
      </c>
      <c r="G6" s="191">
        <v>10.93</v>
      </c>
      <c r="H6" s="190" t="s">
        <v>794</v>
      </c>
    </row>
    <row r="7" spans="1:8" ht="15" thickBot="1" x14ac:dyDescent="0.35">
      <c r="A7" s="187" t="s">
        <v>798</v>
      </c>
      <c r="B7" s="188" t="s">
        <v>799</v>
      </c>
      <c r="C7" s="189" t="s">
        <v>235</v>
      </c>
      <c r="D7" s="190" t="s">
        <v>800</v>
      </c>
      <c r="E7" s="190" t="s">
        <v>74</v>
      </c>
      <c r="F7" s="190" t="s">
        <v>801</v>
      </c>
      <c r="G7" s="191">
        <v>0.17</v>
      </c>
      <c r="H7" s="190" t="s">
        <v>802</v>
      </c>
    </row>
    <row r="8" spans="1:8" ht="21" thickBot="1" x14ac:dyDescent="0.35">
      <c r="A8" s="187" t="s">
        <v>803</v>
      </c>
      <c r="B8" s="188" t="s">
        <v>804</v>
      </c>
      <c r="C8" s="190" t="s">
        <v>238</v>
      </c>
      <c r="D8" s="190" t="s">
        <v>302</v>
      </c>
      <c r="E8" s="189" t="s">
        <v>805</v>
      </c>
      <c r="F8" s="190" t="s">
        <v>806</v>
      </c>
      <c r="G8" s="191" t="s">
        <v>302</v>
      </c>
      <c r="H8" s="190" t="s">
        <v>794</v>
      </c>
    </row>
    <row r="9" spans="1:8" ht="21" thickBot="1" x14ac:dyDescent="0.35">
      <c r="A9" s="187" t="s">
        <v>807</v>
      </c>
      <c r="B9" s="188" t="s">
        <v>808</v>
      </c>
      <c r="C9" s="189" t="s">
        <v>239</v>
      </c>
      <c r="D9" s="190" t="s">
        <v>302</v>
      </c>
      <c r="E9" s="190" t="s">
        <v>74</v>
      </c>
      <c r="F9" s="190" t="s">
        <v>797</v>
      </c>
      <c r="G9" s="191">
        <v>16.14</v>
      </c>
      <c r="H9" s="190" t="s">
        <v>809</v>
      </c>
    </row>
    <row r="10" spans="1:8" ht="31.2" thickBot="1" x14ac:dyDescent="0.35">
      <c r="A10" s="187" t="s">
        <v>810</v>
      </c>
      <c r="B10" s="188" t="s">
        <v>811</v>
      </c>
      <c r="C10" s="190" t="s">
        <v>241</v>
      </c>
      <c r="D10" s="190" t="s">
        <v>787</v>
      </c>
      <c r="E10" s="190" t="s">
        <v>74</v>
      </c>
      <c r="F10" s="189" t="s">
        <v>793</v>
      </c>
      <c r="G10" s="191">
        <v>0.46</v>
      </c>
      <c r="H10" s="190" t="s">
        <v>794</v>
      </c>
    </row>
    <row r="11" spans="1:8" ht="21" thickBot="1" x14ac:dyDescent="0.35">
      <c r="A11" s="187" t="s">
        <v>812</v>
      </c>
      <c r="B11" s="188" t="s">
        <v>813</v>
      </c>
      <c r="C11" s="190" t="s">
        <v>243</v>
      </c>
      <c r="D11" s="190" t="s">
        <v>787</v>
      </c>
      <c r="E11" s="190" t="s">
        <v>814</v>
      </c>
      <c r="F11" s="189" t="s">
        <v>789</v>
      </c>
      <c r="G11" s="191" t="s">
        <v>302</v>
      </c>
      <c r="H11" s="190" t="s">
        <v>815</v>
      </c>
    </row>
    <row r="12" spans="1:8" ht="21" thickBot="1" x14ac:dyDescent="0.35">
      <c r="A12" s="187" t="s">
        <v>816</v>
      </c>
      <c r="B12" s="188" t="s">
        <v>817</v>
      </c>
      <c r="C12" s="189" t="s">
        <v>244</v>
      </c>
      <c r="D12" s="190" t="s">
        <v>818</v>
      </c>
      <c r="E12" s="190" t="s">
        <v>74</v>
      </c>
      <c r="F12" s="190" t="s">
        <v>797</v>
      </c>
      <c r="G12" s="191">
        <v>151.07</v>
      </c>
      <c r="H12" s="190" t="s">
        <v>819</v>
      </c>
    </row>
    <row r="13" spans="1:8" ht="15" thickBot="1" x14ac:dyDescent="0.35">
      <c r="A13" s="187" t="s">
        <v>820</v>
      </c>
      <c r="B13" s="188" t="s">
        <v>821</v>
      </c>
      <c r="C13" s="189" t="s">
        <v>245</v>
      </c>
      <c r="D13" s="190" t="s">
        <v>787</v>
      </c>
      <c r="E13" s="190" t="s">
        <v>74</v>
      </c>
      <c r="F13" s="189" t="s">
        <v>797</v>
      </c>
      <c r="G13" s="191">
        <v>0.3</v>
      </c>
      <c r="H13" s="190" t="s">
        <v>822</v>
      </c>
    </row>
    <row r="14" spans="1:8" ht="21" thickBot="1" x14ac:dyDescent="0.35">
      <c r="A14" s="187" t="s">
        <v>823</v>
      </c>
      <c r="B14" s="188" t="s">
        <v>824</v>
      </c>
      <c r="C14" s="189" t="s">
        <v>246</v>
      </c>
      <c r="D14" s="190" t="s">
        <v>302</v>
      </c>
      <c r="E14" s="190" t="s">
        <v>814</v>
      </c>
      <c r="F14" s="189" t="s">
        <v>789</v>
      </c>
      <c r="G14" s="191" t="s">
        <v>302</v>
      </c>
      <c r="H14" s="190" t="s">
        <v>822</v>
      </c>
    </row>
    <row r="15" spans="1:8" ht="21" thickBot="1" x14ac:dyDescent="0.35">
      <c r="A15" s="187" t="s">
        <v>825</v>
      </c>
      <c r="B15" s="188" t="s">
        <v>826</v>
      </c>
      <c r="C15" s="189" t="s">
        <v>248</v>
      </c>
      <c r="D15" s="190" t="s">
        <v>787</v>
      </c>
      <c r="E15" s="190" t="s">
        <v>827</v>
      </c>
      <c r="F15" s="190" t="s">
        <v>789</v>
      </c>
      <c r="G15" s="191">
        <v>0.31</v>
      </c>
      <c r="H15" s="190" t="s">
        <v>822</v>
      </c>
    </row>
    <row r="16" spans="1:8" ht="51.6" thickBot="1" x14ac:dyDescent="0.35">
      <c r="A16" s="187" t="s">
        <v>828</v>
      </c>
      <c r="B16" s="188" t="s">
        <v>829</v>
      </c>
      <c r="C16" s="189" t="s">
        <v>830</v>
      </c>
      <c r="D16" s="190" t="s">
        <v>830</v>
      </c>
      <c r="E16" s="190" t="s">
        <v>831</v>
      </c>
      <c r="F16" s="190" t="s">
        <v>789</v>
      </c>
      <c r="G16" s="191" t="s">
        <v>302</v>
      </c>
      <c r="H16" s="190" t="s">
        <v>832</v>
      </c>
    </row>
    <row r="17" spans="1:14" ht="51.6" thickBot="1" x14ac:dyDescent="0.35">
      <c r="A17" s="187" t="s">
        <v>833</v>
      </c>
      <c r="B17" s="188" t="s">
        <v>834</v>
      </c>
      <c r="C17" s="189" t="s">
        <v>835</v>
      </c>
      <c r="D17" s="190" t="s">
        <v>836</v>
      </c>
      <c r="E17" s="190" t="s">
        <v>74</v>
      </c>
      <c r="F17" s="190" t="s">
        <v>837</v>
      </c>
      <c r="G17" s="191">
        <v>551.86</v>
      </c>
      <c r="H17" s="190" t="s">
        <v>838</v>
      </c>
    </row>
    <row r="18" spans="1:14" ht="51.6" thickBot="1" x14ac:dyDescent="0.35">
      <c r="A18" s="187" t="s">
        <v>839</v>
      </c>
      <c r="B18" s="188" t="s">
        <v>840</v>
      </c>
      <c r="C18" s="189" t="s">
        <v>835</v>
      </c>
      <c r="D18" s="190" t="s">
        <v>787</v>
      </c>
      <c r="E18" s="190" t="s">
        <v>74</v>
      </c>
      <c r="F18" s="190" t="s">
        <v>797</v>
      </c>
      <c r="G18" s="191" t="s">
        <v>302</v>
      </c>
      <c r="H18" s="190" t="s">
        <v>832</v>
      </c>
    </row>
    <row r="19" spans="1:14" ht="31.2" thickBot="1" x14ac:dyDescent="0.35">
      <c r="A19" s="187" t="s">
        <v>841</v>
      </c>
      <c r="B19" s="188" t="s">
        <v>842</v>
      </c>
      <c r="C19" s="189" t="s">
        <v>249</v>
      </c>
      <c r="D19" s="190" t="s">
        <v>787</v>
      </c>
      <c r="E19" s="190" t="s">
        <v>74</v>
      </c>
      <c r="F19" s="190" t="s">
        <v>797</v>
      </c>
      <c r="G19" s="191" t="s">
        <v>302</v>
      </c>
      <c r="H19" s="190" t="s">
        <v>832</v>
      </c>
    </row>
    <row r="20" spans="1:14" ht="31.2" thickBot="1" x14ac:dyDescent="0.35">
      <c r="A20" s="187" t="s">
        <v>843</v>
      </c>
      <c r="B20" s="188" t="s">
        <v>844</v>
      </c>
      <c r="C20" s="189" t="s">
        <v>835</v>
      </c>
      <c r="D20" s="190" t="s">
        <v>836</v>
      </c>
      <c r="E20" s="190" t="s">
        <v>814</v>
      </c>
      <c r="F20" s="190" t="s">
        <v>789</v>
      </c>
      <c r="G20" s="191" t="s">
        <v>302</v>
      </c>
      <c r="H20" s="190" t="s">
        <v>832</v>
      </c>
    </row>
    <row r="21" spans="1:14" ht="41.4" thickBot="1" x14ac:dyDescent="0.35">
      <c r="A21" s="187" t="s">
        <v>845</v>
      </c>
      <c r="B21" s="188" t="s">
        <v>846</v>
      </c>
      <c r="C21" s="189" t="s">
        <v>835</v>
      </c>
      <c r="D21" s="190" t="s">
        <v>835</v>
      </c>
      <c r="E21" s="190" t="s">
        <v>814</v>
      </c>
      <c r="F21" s="190" t="s">
        <v>789</v>
      </c>
      <c r="G21" s="191" t="s">
        <v>302</v>
      </c>
      <c r="H21" s="190" t="s">
        <v>832</v>
      </c>
    </row>
    <row r="22" spans="1:14" ht="41.4" thickBot="1" x14ac:dyDescent="0.35">
      <c r="A22" s="187" t="s">
        <v>847</v>
      </c>
      <c r="B22" s="188" t="s">
        <v>848</v>
      </c>
      <c r="C22" s="189" t="s">
        <v>830</v>
      </c>
      <c r="D22" s="190" t="s">
        <v>830</v>
      </c>
      <c r="E22" s="190" t="s">
        <v>814</v>
      </c>
      <c r="F22" s="190" t="s">
        <v>849</v>
      </c>
      <c r="G22" s="191">
        <v>562.1</v>
      </c>
      <c r="H22" s="190" t="s">
        <v>838</v>
      </c>
    </row>
    <row r="23" spans="1:14" ht="31.2" thickBot="1" x14ac:dyDescent="0.35">
      <c r="A23" s="187" t="s">
        <v>850</v>
      </c>
      <c r="B23" s="188" t="s">
        <v>851</v>
      </c>
      <c r="C23" s="190" t="s">
        <v>830</v>
      </c>
      <c r="D23" s="190" t="s">
        <v>852</v>
      </c>
      <c r="E23" s="190" t="s">
        <v>814</v>
      </c>
      <c r="F23" s="190" t="s">
        <v>849</v>
      </c>
      <c r="G23" s="191" t="s">
        <v>302</v>
      </c>
      <c r="H23" s="190" t="s">
        <v>832</v>
      </c>
    </row>
    <row r="24" spans="1:14" ht="41.4" thickBot="1" x14ac:dyDescent="0.35">
      <c r="A24" s="187" t="s">
        <v>853</v>
      </c>
      <c r="B24" s="188" t="s">
        <v>854</v>
      </c>
      <c r="C24" s="190" t="s">
        <v>835</v>
      </c>
      <c r="D24" s="190" t="s">
        <v>855</v>
      </c>
      <c r="E24" s="190" t="s">
        <v>814</v>
      </c>
      <c r="F24" s="190" t="s">
        <v>849</v>
      </c>
      <c r="G24" s="191" t="s">
        <v>302</v>
      </c>
      <c r="H24" s="190" t="s">
        <v>832</v>
      </c>
    </row>
    <row r="25" spans="1:14" ht="15" thickBot="1" x14ac:dyDescent="0.35">
      <c r="A25" s="192" t="s">
        <v>333</v>
      </c>
      <c r="B25" s="175"/>
      <c r="C25" s="175"/>
      <c r="D25" s="175"/>
      <c r="E25" s="175"/>
      <c r="F25" s="175"/>
      <c r="G25" s="191">
        <f>SUM(G4:G24)</f>
        <v>1316.31</v>
      </c>
      <c r="H25" s="175"/>
    </row>
    <row r="27" spans="1:14" x14ac:dyDescent="0.3">
      <c r="A27" s="194" t="s">
        <v>856</v>
      </c>
    </row>
    <row r="29" spans="1:14" ht="24" x14ac:dyDescent="0.3">
      <c r="A29" s="242" t="s">
        <v>744</v>
      </c>
      <c r="B29" s="242" t="s">
        <v>745</v>
      </c>
      <c r="C29" s="152" t="s">
        <v>746</v>
      </c>
      <c r="D29" s="242" t="s">
        <v>747</v>
      </c>
      <c r="E29" s="242" t="s">
        <v>760</v>
      </c>
      <c r="F29" s="242" t="s">
        <v>761</v>
      </c>
      <c r="G29" s="242" t="s">
        <v>762</v>
      </c>
      <c r="H29" s="242" t="s">
        <v>763</v>
      </c>
      <c r="J29" t="s">
        <v>759</v>
      </c>
      <c r="K29" s="109">
        <v>609.83000000000004</v>
      </c>
      <c r="L29" t="s">
        <v>756</v>
      </c>
      <c r="M29" s="139"/>
    </row>
    <row r="30" spans="1:14" ht="15.6" x14ac:dyDescent="0.3">
      <c r="A30" s="242"/>
      <c r="B30" s="242"/>
      <c r="C30" s="153" t="s">
        <v>748</v>
      </c>
      <c r="D30" s="242"/>
      <c r="E30" s="242"/>
      <c r="F30" s="242"/>
      <c r="G30" s="242"/>
      <c r="H30" s="242"/>
      <c r="J30" t="s">
        <v>759</v>
      </c>
      <c r="K30" s="109">
        <v>651.28</v>
      </c>
      <c r="L30" t="s">
        <v>757</v>
      </c>
      <c r="M30" s="139"/>
      <c r="N30" s="139"/>
    </row>
    <row r="31" spans="1:14" ht="15.6" x14ac:dyDescent="0.3">
      <c r="A31" s="140" t="s">
        <v>217</v>
      </c>
      <c r="B31" s="141">
        <v>2375151</v>
      </c>
      <c r="C31" s="154">
        <v>95.42</v>
      </c>
      <c r="D31" s="141">
        <f t="shared" ref="D31:D37" si="0">B31*((99-C31)/100)</f>
        <v>85030.405799999964</v>
      </c>
      <c r="E31" s="141">
        <f>(D31*200*5)/1000</f>
        <v>85030.405799999964</v>
      </c>
      <c r="F31" s="150">
        <f t="shared" ref="F31:F37" si="1">$K$33*E31</f>
        <v>37739555.188648783</v>
      </c>
      <c r="G31" s="142">
        <f>D31*$K$30</f>
        <v>55378602.689423971</v>
      </c>
      <c r="H31" s="142">
        <f>F31+G31</f>
        <v>93118157.878072754</v>
      </c>
      <c r="M31" s="139"/>
      <c r="N31" s="139"/>
    </row>
    <row r="32" spans="1:14" x14ac:dyDescent="0.3">
      <c r="A32" s="140" t="s">
        <v>224</v>
      </c>
      <c r="B32" s="141">
        <v>378089</v>
      </c>
      <c r="C32" s="154">
        <v>89.19</v>
      </c>
      <c r="D32" s="141">
        <f t="shared" si="0"/>
        <v>37090.530900000005</v>
      </c>
      <c r="E32" s="141">
        <f t="shared" ref="E32:E37" si="2">(D32*200*5)/1000</f>
        <v>37090.530900000005</v>
      </c>
      <c r="F32" s="150">
        <f t="shared" si="1"/>
        <v>16462112.872532403</v>
      </c>
      <c r="G32" s="142">
        <f t="shared" ref="G32:G37" si="3">D32*$K$30</f>
        <v>24156320.964552004</v>
      </c>
      <c r="H32" s="142">
        <f t="shared" ref="H32:H37" si="4">F32+G32</f>
        <v>40618433.837084405</v>
      </c>
      <c r="J32" t="s">
        <v>758</v>
      </c>
      <c r="K32" s="109">
        <v>414.8</v>
      </c>
      <c r="L32" t="s">
        <v>756</v>
      </c>
    </row>
    <row r="33" spans="1:12" x14ac:dyDescent="0.3">
      <c r="A33" s="140" t="s">
        <v>231</v>
      </c>
      <c r="B33" s="141">
        <v>603442</v>
      </c>
      <c r="C33" s="154">
        <v>87.59</v>
      </c>
      <c r="D33" s="141">
        <f t="shared" si="0"/>
        <v>68852.732199999984</v>
      </c>
      <c r="E33" s="141">
        <f t="shared" si="2"/>
        <v>68852.732199999984</v>
      </c>
      <c r="F33" s="150">
        <f t="shared" si="1"/>
        <v>30559321.248719193</v>
      </c>
      <c r="G33" s="142">
        <f t="shared" si="3"/>
        <v>44842407.427215986</v>
      </c>
      <c r="H33" s="142">
        <f t="shared" si="4"/>
        <v>75401728.675935179</v>
      </c>
      <c r="J33" t="s">
        <v>758</v>
      </c>
      <c r="K33" s="109">
        <v>443.83600000000001</v>
      </c>
      <c r="L33" t="s">
        <v>757</v>
      </c>
    </row>
    <row r="34" spans="1:12" x14ac:dyDescent="0.3">
      <c r="A34" s="140" t="s">
        <v>233</v>
      </c>
      <c r="B34" s="141">
        <v>158954</v>
      </c>
      <c r="C34" s="154">
        <v>83.47</v>
      </c>
      <c r="D34" s="141">
        <f t="shared" si="0"/>
        <v>24685.556200000003</v>
      </c>
      <c r="E34" s="141">
        <f t="shared" si="2"/>
        <v>24685.556200000003</v>
      </c>
      <c r="F34" s="150">
        <f t="shared" si="1"/>
        <v>10956338.521583201</v>
      </c>
      <c r="G34" s="142">
        <f t="shared" si="3"/>
        <v>16077209.041936001</v>
      </c>
      <c r="H34" s="142">
        <f t="shared" si="4"/>
        <v>27033547.563519202</v>
      </c>
    </row>
    <row r="35" spans="1:12" x14ac:dyDescent="0.3">
      <c r="A35" s="143" t="s">
        <v>247</v>
      </c>
      <c r="B35" s="141">
        <v>296317</v>
      </c>
      <c r="C35" s="155">
        <v>82.59</v>
      </c>
      <c r="D35" s="141">
        <f t="shared" si="0"/>
        <v>48625.619699999988</v>
      </c>
      <c r="E35" s="141">
        <f t="shared" si="2"/>
        <v>48625.619699999988</v>
      </c>
      <c r="F35" s="150">
        <f t="shared" si="1"/>
        <v>21581800.545169197</v>
      </c>
      <c r="G35" s="142">
        <f t="shared" si="3"/>
        <v>31668893.59821599</v>
      </c>
      <c r="H35" s="142">
        <f t="shared" si="4"/>
        <v>53250694.143385187</v>
      </c>
    </row>
    <row r="36" spans="1:12" x14ac:dyDescent="0.3">
      <c r="A36" s="143" t="s">
        <v>249</v>
      </c>
      <c r="B36" s="141">
        <v>126269</v>
      </c>
      <c r="C36" s="155">
        <v>78.34</v>
      </c>
      <c r="D36" s="141">
        <f t="shared" si="0"/>
        <v>26087.175399999996</v>
      </c>
      <c r="E36" s="141">
        <f t="shared" si="2"/>
        <v>26087.175399999996</v>
      </c>
      <c r="F36" s="150">
        <f t="shared" si="1"/>
        <v>11578427.580834398</v>
      </c>
      <c r="G36" s="142">
        <f t="shared" si="3"/>
        <v>16990055.594511997</v>
      </c>
      <c r="H36" s="142">
        <f t="shared" si="4"/>
        <v>28568483.175346397</v>
      </c>
    </row>
    <row r="37" spans="1:12" x14ac:dyDescent="0.3">
      <c r="A37" s="143" t="s">
        <v>250</v>
      </c>
      <c r="B37" s="141">
        <v>202942</v>
      </c>
      <c r="C37" s="155">
        <v>78.14</v>
      </c>
      <c r="D37" s="141">
        <f t="shared" si="0"/>
        <v>42333.701200000003</v>
      </c>
      <c r="E37" s="141">
        <f t="shared" si="2"/>
        <v>42333.701200000003</v>
      </c>
      <c r="F37" s="150">
        <f t="shared" si="1"/>
        <v>18789220.605803203</v>
      </c>
      <c r="G37" s="142">
        <f t="shared" si="3"/>
        <v>27571092.917536002</v>
      </c>
      <c r="H37" s="142">
        <f t="shared" si="4"/>
        <v>46360313.523339204</v>
      </c>
    </row>
    <row r="38" spans="1:12" x14ac:dyDescent="0.3">
      <c r="A38" s="151"/>
      <c r="G38" s="144"/>
      <c r="H38" s="144"/>
    </row>
    <row r="39" spans="1:12" x14ac:dyDescent="0.3">
      <c r="A39" s="84"/>
      <c r="B39" s="85" t="s">
        <v>749</v>
      </c>
    </row>
    <row r="40" spans="1:12" x14ac:dyDescent="0.3">
      <c r="A40" s="156" t="s">
        <v>764</v>
      </c>
      <c r="B40" s="86">
        <f>0.9*B42</f>
        <v>327916223.10000002</v>
      </c>
    </row>
    <row r="41" spans="1:12" x14ac:dyDescent="0.3">
      <c r="A41" s="156" t="s">
        <v>750</v>
      </c>
      <c r="B41" s="86">
        <f>0.1*B42</f>
        <v>36435135.899999999</v>
      </c>
    </row>
    <row r="42" spans="1:12" x14ac:dyDescent="0.3">
      <c r="A42" s="85" t="s">
        <v>333</v>
      </c>
      <c r="B42" s="87">
        <f>ROUND(SUM(H31:H37),0)</f>
        <v>364351359</v>
      </c>
    </row>
    <row r="43" spans="1:12" x14ac:dyDescent="0.3">
      <c r="B43" s="146"/>
      <c r="C43" s="145"/>
    </row>
    <row r="44" spans="1:12" x14ac:dyDescent="0.3">
      <c r="B44" s="146"/>
      <c r="C44" s="146"/>
    </row>
  </sheetData>
  <mergeCells count="7">
    <mergeCell ref="H29:H30"/>
    <mergeCell ref="A29:A30"/>
    <mergeCell ref="B29:B30"/>
    <mergeCell ref="D29:D30"/>
    <mergeCell ref="G29:G30"/>
    <mergeCell ref="F29:F30"/>
    <mergeCell ref="E29:E30"/>
  </mergeCell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073AB-B93B-4768-83FC-01FDF09EB0D5}">
  <dimension ref="A1:F19"/>
  <sheetViews>
    <sheetView workbookViewId="0">
      <selection activeCell="C22" sqref="C22"/>
    </sheetView>
  </sheetViews>
  <sheetFormatPr defaultRowHeight="14.4" x14ac:dyDescent="0.3"/>
  <cols>
    <col min="1" max="1" width="41" bestFit="1" customWidth="1"/>
    <col min="2" max="2" width="19.33203125" customWidth="1"/>
    <col min="3" max="3" width="18" customWidth="1"/>
    <col min="4" max="4" width="16.44140625" customWidth="1"/>
    <col min="5" max="5" width="18.33203125" customWidth="1"/>
    <col min="6" max="6" width="15.21875" bestFit="1" customWidth="1"/>
    <col min="10" max="10" width="15.21875" bestFit="1" customWidth="1"/>
    <col min="11" max="11" width="15" bestFit="1" customWidth="1"/>
  </cols>
  <sheetData>
    <row r="1" spans="1:6" x14ac:dyDescent="0.3">
      <c r="A1" s="133" t="s">
        <v>707</v>
      </c>
    </row>
    <row r="3" spans="1:6" x14ac:dyDescent="0.3">
      <c r="A3" s="135" t="s">
        <v>199</v>
      </c>
      <c r="B3" s="136" t="s">
        <v>699</v>
      </c>
      <c r="C3" s="136" t="s">
        <v>708</v>
      </c>
      <c r="E3" t="s">
        <v>700</v>
      </c>
    </row>
    <row r="4" spans="1:6" x14ac:dyDescent="0.3">
      <c r="A4" s="81" t="s">
        <v>217</v>
      </c>
      <c r="B4" s="128">
        <v>2521564</v>
      </c>
      <c r="C4" s="128">
        <v>2406188</v>
      </c>
      <c r="E4" t="s">
        <v>701</v>
      </c>
    </row>
    <row r="5" spans="1:6" x14ac:dyDescent="0.3">
      <c r="A5" s="81" t="s">
        <v>231</v>
      </c>
      <c r="B5" s="128">
        <v>668949</v>
      </c>
      <c r="C5" s="128">
        <v>585900</v>
      </c>
      <c r="E5" t="s">
        <v>703</v>
      </c>
      <c r="F5" s="108">
        <v>6920000000</v>
      </c>
    </row>
    <row r="6" spans="1:6" x14ac:dyDescent="0.3">
      <c r="A6" s="81" t="s">
        <v>249</v>
      </c>
      <c r="B6" s="128">
        <v>137125</v>
      </c>
      <c r="C6" s="128">
        <v>107421</v>
      </c>
      <c r="E6" t="s">
        <v>704</v>
      </c>
      <c r="F6" s="130">
        <v>64140000</v>
      </c>
    </row>
    <row r="7" spans="1:6" x14ac:dyDescent="0.3">
      <c r="A7" s="81" t="s">
        <v>250</v>
      </c>
      <c r="B7" s="128">
        <v>220444</v>
      </c>
      <c r="C7" s="128">
        <v>172250</v>
      </c>
      <c r="E7" s="98" t="s">
        <v>705</v>
      </c>
      <c r="F7" s="134">
        <f>F5/F6</f>
        <v>107.88899282818834</v>
      </c>
    </row>
    <row r="8" spans="1:6" x14ac:dyDescent="0.3">
      <c r="A8" s="81" t="s">
        <v>251</v>
      </c>
      <c r="B8" s="128">
        <v>24135</v>
      </c>
      <c r="C8" s="128">
        <v>13191</v>
      </c>
    </row>
    <row r="9" spans="1:6" x14ac:dyDescent="0.3">
      <c r="A9" s="81" t="s">
        <v>253</v>
      </c>
      <c r="B9" s="128">
        <v>241835</v>
      </c>
      <c r="C9" s="128">
        <v>235967</v>
      </c>
    </row>
    <row r="10" spans="1:6" x14ac:dyDescent="0.3">
      <c r="A10" s="81" t="s">
        <v>333</v>
      </c>
      <c r="B10" s="129">
        <f>SUM(B4:B9)</f>
        <v>3814052</v>
      </c>
      <c r="C10" s="129">
        <f>SUM(C4:C9)</f>
        <v>3520917</v>
      </c>
    </row>
    <row r="12" spans="1:6" x14ac:dyDescent="0.3">
      <c r="A12" s="84" t="s">
        <v>702</v>
      </c>
    </row>
    <row r="13" spans="1:6" x14ac:dyDescent="0.3">
      <c r="A13" s="137">
        <f>C10*F7</f>
        <v>379868188.96164638</v>
      </c>
    </row>
    <row r="16" spans="1:6" x14ac:dyDescent="0.3">
      <c r="A16" s="107" t="s">
        <v>706</v>
      </c>
      <c r="B16" s="107"/>
      <c r="C16" s="107"/>
    </row>
    <row r="17" spans="1:3" x14ac:dyDescent="0.3">
      <c r="A17" s="131">
        <v>0.02</v>
      </c>
      <c r="B17" s="107"/>
      <c r="C17" s="138">
        <f>A13*A17</f>
        <v>7597363.7792329276</v>
      </c>
    </row>
    <row r="18" spans="1:3" x14ac:dyDescent="0.3">
      <c r="A18" s="107" t="s">
        <v>280</v>
      </c>
    </row>
    <row r="19" spans="1:3" x14ac:dyDescent="0.3">
      <c r="A19" s="132"/>
      <c r="C19" s="138">
        <f>A13</f>
        <v>379868188.96164638</v>
      </c>
    </row>
  </sheetData>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1D257-B354-4DA0-9003-4B2BF6154AD1}">
  <dimension ref="A1:T38"/>
  <sheetViews>
    <sheetView showGridLines="0" topLeftCell="A16" workbookViewId="0">
      <selection activeCell="T38" sqref="T38"/>
    </sheetView>
  </sheetViews>
  <sheetFormatPr defaultRowHeight="14.4" x14ac:dyDescent="0.3"/>
  <cols>
    <col min="1" max="1" width="10.109375" bestFit="1" customWidth="1"/>
    <col min="2" max="2" width="21" bestFit="1" customWidth="1"/>
    <col min="3" max="3" width="7" bestFit="1" customWidth="1"/>
    <col min="4" max="4" width="16" style="79" bestFit="1" customWidth="1"/>
    <col min="5" max="5" width="19" bestFit="1" customWidth="1"/>
    <col min="6" max="6" width="22.5546875" bestFit="1" customWidth="1"/>
    <col min="7" max="7" width="12" customWidth="1"/>
    <col min="8" max="8" width="25.88671875" customWidth="1"/>
    <col min="9" max="9" width="15.33203125" bestFit="1" customWidth="1"/>
    <col min="10" max="10" width="11" style="79" customWidth="1"/>
    <col min="11" max="11" width="11.109375" style="79" customWidth="1"/>
    <col min="12" max="12" width="16.44140625" bestFit="1" customWidth="1"/>
    <col min="13" max="13" width="16.88671875" customWidth="1"/>
    <col min="14" max="14" width="14.5546875" customWidth="1"/>
    <col min="16" max="16" width="57.21875" bestFit="1" customWidth="1"/>
    <col min="17" max="17" width="17.88671875" customWidth="1"/>
    <col min="18" max="18" width="16.5546875" bestFit="1" customWidth="1"/>
    <col min="19" max="19" width="14.33203125" bestFit="1" customWidth="1"/>
    <col min="20" max="20" width="14.77734375" bestFit="1" customWidth="1"/>
    <col min="257" max="257" width="10.109375" bestFit="1" customWidth="1"/>
    <col min="258" max="258" width="21" bestFit="1" customWidth="1"/>
    <col min="259" max="259" width="7" bestFit="1" customWidth="1"/>
    <col min="260" max="260" width="16" bestFit="1" customWidth="1"/>
    <col min="261" max="261" width="19" bestFit="1" customWidth="1"/>
    <col min="262" max="262" width="22.5546875" bestFit="1" customWidth="1"/>
    <col min="263" max="263" width="12" customWidth="1"/>
    <col min="264" max="264" width="25.88671875" customWidth="1"/>
    <col min="265" max="265" width="15.33203125" bestFit="1" customWidth="1"/>
    <col min="266" max="266" width="11" customWidth="1"/>
    <col min="267" max="267" width="11.109375" customWidth="1"/>
    <col min="268" max="268" width="16.44140625" bestFit="1" customWidth="1"/>
    <col min="269" max="269" width="16.88671875" customWidth="1"/>
    <col min="270" max="270" width="14.5546875" customWidth="1"/>
    <col min="272" max="272" width="57.21875" bestFit="1" customWidth="1"/>
    <col min="273" max="273" width="17.88671875" customWidth="1"/>
    <col min="274" max="274" width="16.5546875" bestFit="1" customWidth="1"/>
    <col min="275" max="275" width="14.33203125" bestFit="1" customWidth="1"/>
    <col min="276" max="276" width="14.77734375" bestFit="1" customWidth="1"/>
    <col min="513" max="513" width="10.109375" bestFit="1" customWidth="1"/>
    <col min="514" max="514" width="21" bestFit="1" customWidth="1"/>
    <col min="515" max="515" width="7" bestFit="1" customWidth="1"/>
    <col min="516" max="516" width="16" bestFit="1" customWidth="1"/>
    <col min="517" max="517" width="19" bestFit="1" customWidth="1"/>
    <col min="518" max="518" width="22.5546875" bestFit="1" customWidth="1"/>
    <col min="519" max="519" width="12" customWidth="1"/>
    <col min="520" max="520" width="25.88671875" customWidth="1"/>
    <col min="521" max="521" width="15.33203125" bestFit="1" customWidth="1"/>
    <col min="522" max="522" width="11" customWidth="1"/>
    <col min="523" max="523" width="11.109375" customWidth="1"/>
    <col min="524" max="524" width="16.44140625" bestFit="1" customWidth="1"/>
    <col min="525" max="525" width="16.88671875" customWidth="1"/>
    <col min="526" max="526" width="14.5546875" customWidth="1"/>
    <col min="528" max="528" width="57.21875" bestFit="1" customWidth="1"/>
    <col min="529" max="529" width="17.88671875" customWidth="1"/>
    <col min="530" max="530" width="16.5546875" bestFit="1" customWidth="1"/>
    <col min="531" max="531" width="14.33203125" bestFit="1" customWidth="1"/>
    <col min="532" max="532" width="14.77734375" bestFit="1" customWidth="1"/>
    <col min="769" max="769" width="10.109375" bestFit="1" customWidth="1"/>
    <col min="770" max="770" width="21" bestFit="1" customWidth="1"/>
    <col min="771" max="771" width="7" bestFit="1" customWidth="1"/>
    <col min="772" max="772" width="16" bestFit="1" customWidth="1"/>
    <col min="773" max="773" width="19" bestFit="1" customWidth="1"/>
    <col min="774" max="774" width="22.5546875" bestFit="1" customWidth="1"/>
    <col min="775" max="775" width="12" customWidth="1"/>
    <col min="776" max="776" width="25.88671875" customWidth="1"/>
    <col min="777" max="777" width="15.33203125" bestFit="1" customWidth="1"/>
    <col min="778" max="778" width="11" customWidth="1"/>
    <col min="779" max="779" width="11.109375" customWidth="1"/>
    <col min="780" max="780" width="16.44140625" bestFit="1" customWidth="1"/>
    <col min="781" max="781" width="16.88671875" customWidth="1"/>
    <col min="782" max="782" width="14.5546875" customWidth="1"/>
    <col min="784" max="784" width="57.21875" bestFit="1" customWidth="1"/>
    <col min="785" max="785" width="17.88671875" customWidth="1"/>
    <col min="786" max="786" width="16.5546875" bestFit="1" customWidth="1"/>
    <col min="787" max="787" width="14.33203125" bestFit="1" customWidth="1"/>
    <col min="788" max="788" width="14.77734375" bestFit="1" customWidth="1"/>
    <col min="1025" max="1025" width="10.109375" bestFit="1" customWidth="1"/>
    <col min="1026" max="1026" width="21" bestFit="1" customWidth="1"/>
    <col min="1027" max="1027" width="7" bestFit="1" customWidth="1"/>
    <col min="1028" max="1028" width="16" bestFit="1" customWidth="1"/>
    <col min="1029" max="1029" width="19" bestFit="1" customWidth="1"/>
    <col min="1030" max="1030" width="22.5546875" bestFit="1" customWidth="1"/>
    <col min="1031" max="1031" width="12" customWidth="1"/>
    <col min="1032" max="1032" width="25.88671875" customWidth="1"/>
    <col min="1033" max="1033" width="15.33203125" bestFit="1" customWidth="1"/>
    <col min="1034" max="1034" width="11" customWidth="1"/>
    <col min="1035" max="1035" width="11.109375" customWidth="1"/>
    <col min="1036" max="1036" width="16.44140625" bestFit="1" customWidth="1"/>
    <col min="1037" max="1037" width="16.88671875" customWidth="1"/>
    <col min="1038" max="1038" width="14.5546875" customWidth="1"/>
    <col min="1040" max="1040" width="57.21875" bestFit="1" customWidth="1"/>
    <col min="1041" max="1041" width="17.88671875" customWidth="1"/>
    <col min="1042" max="1042" width="16.5546875" bestFit="1" customWidth="1"/>
    <col min="1043" max="1043" width="14.33203125" bestFit="1" customWidth="1"/>
    <col min="1044" max="1044" width="14.77734375" bestFit="1" customWidth="1"/>
    <col min="1281" max="1281" width="10.109375" bestFit="1" customWidth="1"/>
    <col min="1282" max="1282" width="21" bestFit="1" customWidth="1"/>
    <col min="1283" max="1283" width="7" bestFit="1" customWidth="1"/>
    <col min="1284" max="1284" width="16" bestFit="1" customWidth="1"/>
    <col min="1285" max="1285" width="19" bestFit="1" customWidth="1"/>
    <col min="1286" max="1286" width="22.5546875" bestFit="1" customWidth="1"/>
    <col min="1287" max="1287" width="12" customWidth="1"/>
    <col min="1288" max="1288" width="25.88671875" customWidth="1"/>
    <col min="1289" max="1289" width="15.33203125" bestFit="1" customWidth="1"/>
    <col min="1290" max="1290" width="11" customWidth="1"/>
    <col min="1291" max="1291" width="11.109375" customWidth="1"/>
    <col min="1292" max="1292" width="16.44140625" bestFit="1" customWidth="1"/>
    <col min="1293" max="1293" width="16.88671875" customWidth="1"/>
    <col min="1294" max="1294" width="14.5546875" customWidth="1"/>
    <col min="1296" max="1296" width="57.21875" bestFit="1" customWidth="1"/>
    <col min="1297" max="1297" width="17.88671875" customWidth="1"/>
    <col min="1298" max="1298" width="16.5546875" bestFit="1" customWidth="1"/>
    <col min="1299" max="1299" width="14.33203125" bestFit="1" customWidth="1"/>
    <col min="1300" max="1300" width="14.77734375" bestFit="1" customWidth="1"/>
    <col min="1537" max="1537" width="10.109375" bestFit="1" customWidth="1"/>
    <col min="1538" max="1538" width="21" bestFit="1" customWidth="1"/>
    <col min="1539" max="1539" width="7" bestFit="1" customWidth="1"/>
    <col min="1540" max="1540" width="16" bestFit="1" customWidth="1"/>
    <col min="1541" max="1541" width="19" bestFit="1" customWidth="1"/>
    <col min="1542" max="1542" width="22.5546875" bestFit="1" customWidth="1"/>
    <col min="1543" max="1543" width="12" customWidth="1"/>
    <col min="1544" max="1544" width="25.88671875" customWidth="1"/>
    <col min="1545" max="1545" width="15.33203125" bestFit="1" customWidth="1"/>
    <col min="1546" max="1546" width="11" customWidth="1"/>
    <col min="1547" max="1547" width="11.109375" customWidth="1"/>
    <col min="1548" max="1548" width="16.44140625" bestFit="1" customWidth="1"/>
    <col min="1549" max="1549" width="16.88671875" customWidth="1"/>
    <col min="1550" max="1550" width="14.5546875" customWidth="1"/>
    <col min="1552" max="1552" width="57.21875" bestFit="1" customWidth="1"/>
    <col min="1553" max="1553" width="17.88671875" customWidth="1"/>
    <col min="1554" max="1554" width="16.5546875" bestFit="1" customWidth="1"/>
    <col min="1555" max="1555" width="14.33203125" bestFit="1" customWidth="1"/>
    <col min="1556" max="1556" width="14.77734375" bestFit="1" customWidth="1"/>
    <col min="1793" max="1793" width="10.109375" bestFit="1" customWidth="1"/>
    <col min="1794" max="1794" width="21" bestFit="1" customWidth="1"/>
    <col min="1795" max="1795" width="7" bestFit="1" customWidth="1"/>
    <col min="1796" max="1796" width="16" bestFit="1" customWidth="1"/>
    <col min="1797" max="1797" width="19" bestFit="1" customWidth="1"/>
    <col min="1798" max="1798" width="22.5546875" bestFit="1" customWidth="1"/>
    <col min="1799" max="1799" width="12" customWidth="1"/>
    <col min="1800" max="1800" width="25.88671875" customWidth="1"/>
    <col min="1801" max="1801" width="15.33203125" bestFit="1" customWidth="1"/>
    <col min="1802" max="1802" width="11" customWidth="1"/>
    <col min="1803" max="1803" width="11.109375" customWidth="1"/>
    <col min="1804" max="1804" width="16.44140625" bestFit="1" customWidth="1"/>
    <col min="1805" max="1805" width="16.88671875" customWidth="1"/>
    <col min="1806" max="1806" width="14.5546875" customWidth="1"/>
    <col min="1808" max="1808" width="57.21875" bestFit="1" customWidth="1"/>
    <col min="1809" max="1809" width="17.88671875" customWidth="1"/>
    <col min="1810" max="1810" width="16.5546875" bestFit="1" customWidth="1"/>
    <col min="1811" max="1811" width="14.33203125" bestFit="1" customWidth="1"/>
    <col min="1812" max="1812" width="14.77734375" bestFit="1" customWidth="1"/>
    <col min="2049" max="2049" width="10.109375" bestFit="1" customWidth="1"/>
    <col min="2050" max="2050" width="21" bestFit="1" customWidth="1"/>
    <col min="2051" max="2051" width="7" bestFit="1" customWidth="1"/>
    <col min="2052" max="2052" width="16" bestFit="1" customWidth="1"/>
    <col min="2053" max="2053" width="19" bestFit="1" customWidth="1"/>
    <col min="2054" max="2054" width="22.5546875" bestFit="1" customWidth="1"/>
    <col min="2055" max="2055" width="12" customWidth="1"/>
    <col min="2056" max="2056" width="25.88671875" customWidth="1"/>
    <col min="2057" max="2057" width="15.33203125" bestFit="1" customWidth="1"/>
    <col min="2058" max="2058" width="11" customWidth="1"/>
    <col min="2059" max="2059" width="11.109375" customWidth="1"/>
    <col min="2060" max="2060" width="16.44140625" bestFit="1" customWidth="1"/>
    <col min="2061" max="2061" width="16.88671875" customWidth="1"/>
    <col min="2062" max="2062" width="14.5546875" customWidth="1"/>
    <col min="2064" max="2064" width="57.21875" bestFit="1" customWidth="1"/>
    <col min="2065" max="2065" width="17.88671875" customWidth="1"/>
    <col min="2066" max="2066" width="16.5546875" bestFit="1" customWidth="1"/>
    <col min="2067" max="2067" width="14.33203125" bestFit="1" customWidth="1"/>
    <col min="2068" max="2068" width="14.77734375" bestFit="1" customWidth="1"/>
    <col min="2305" max="2305" width="10.109375" bestFit="1" customWidth="1"/>
    <col min="2306" max="2306" width="21" bestFit="1" customWidth="1"/>
    <col min="2307" max="2307" width="7" bestFit="1" customWidth="1"/>
    <col min="2308" max="2308" width="16" bestFit="1" customWidth="1"/>
    <col min="2309" max="2309" width="19" bestFit="1" customWidth="1"/>
    <col min="2310" max="2310" width="22.5546875" bestFit="1" customWidth="1"/>
    <col min="2311" max="2311" width="12" customWidth="1"/>
    <col min="2312" max="2312" width="25.88671875" customWidth="1"/>
    <col min="2313" max="2313" width="15.33203125" bestFit="1" customWidth="1"/>
    <col min="2314" max="2314" width="11" customWidth="1"/>
    <col min="2315" max="2315" width="11.109375" customWidth="1"/>
    <col min="2316" max="2316" width="16.44140625" bestFit="1" customWidth="1"/>
    <col min="2317" max="2317" width="16.88671875" customWidth="1"/>
    <col min="2318" max="2318" width="14.5546875" customWidth="1"/>
    <col min="2320" max="2320" width="57.21875" bestFit="1" customWidth="1"/>
    <col min="2321" max="2321" width="17.88671875" customWidth="1"/>
    <col min="2322" max="2322" width="16.5546875" bestFit="1" customWidth="1"/>
    <col min="2323" max="2323" width="14.33203125" bestFit="1" customWidth="1"/>
    <col min="2324" max="2324" width="14.77734375" bestFit="1" customWidth="1"/>
    <col min="2561" max="2561" width="10.109375" bestFit="1" customWidth="1"/>
    <col min="2562" max="2562" width="21" bestFit="1" customWidth="1"/>
    <col min="2563" max="2563" width="7" bestFit="1" customWidth="1"/>
    <col min="2564" max="2564" width="16" bestFit="1" customWidth="1"/>
    <col min="2565" max="2565" width="19" bestFit="1" customWidth="1"/>
    <col min="2566" max="2566" width="22.5546875" bestFit="1" customWidth="1"/>
    <col min="2567" max="2567" width="12" customWidth="1"/>
    <col min="2568" max="2568" width="25.88671875" customWidth="1"/>
    <col min="2569" max="2569" width="15.33203125" bestFit="1" customWidth="1"/>
    <col min="2570" max="2570" width="11" customWidth="1"/>
    <col min="2571" max="2571" width="11.109375" customWidth="1"/>
    <col min="2572" max="2572" width="16.44140625" bestFit="1" customWidth="1"/>
    <col min="2573" max="2573" width="16.88671875" customWidth="1"/>
    <col min="2574" max="2574" width="14.5546875" customWidth="1"/>
    <col min="2576" max="2576" width="57.21875" bestFit="1" customWidth="1"/>
    <col min="2577" max="2577" width="17.88671875" customWidth="1"/>
    <col min="2578" max="2578" width="16.5546875" bestFit="1" customWidth="1"/>
    <col min="2579" max="2579" width="14.33203125" bestFit="1" customWidth="1"/>
    <col min="2580" max="2580" width="14.77734375" bestFit="1" customWidth="1"/>
    <col min="2817" max="2817" width="10.109375" bestFit="1" customWidth="1"/>
    <col min="2818" max="2818" width="21" bestFit="1" customWidth="1"/>
    <col min="2819" max="2819" width="7" bestFit="1" customWidth="1"/>
    <col min="2820" max="2820" width="16" bestFit="1" customWidth="1"/>
    <col min="2821" max="2821" width="19" bestFit="1" customWidth="1"/>
    <col min="2822" max="2822" width="22.5546875" bestFit="1" customWidth="1"/>
    <col min="2823" max="2823" width="12" customWidth="1"/>
    <col min="2824" max="2824" width="25.88671875" customWidth="1"/>
    <col min="2825" max="2825" width="15.33203125" bestFit="1" customWidth="1"/>
    <col min="2826" max="2826" width="11" customWidth="1"/>
    <col min="2827" max="2827" width="11.109375" customWidth="1"/>
    <col min="2828" max="2828" width="16.44140625" bestFit="1" customWidth="1"/>
    <col min="2829" max="2829" width="16.88671875" customWidth="1"/>
    <col min="2830" max="2830" width="14.5546875" customWidth="1"/>
    <col min="2832" max="2832" width="57.21875" bestFit="1" customWidth="1"/>
    <col min="2833" max="2833" width="17.88671875" customWidth="1"/>
    <col min="2834" max="2834" width="16.5546875" bestFit="1" customWidth="1"/>
    <col min="2835" max="2835" width="14.33203125" bestFit="1" customWidth="1"/>
    <col min="2836" max="2836" width="14.77734375" bestFit="1" customWidth="1"/>
    <col min="3073" max="3073" width="10.109375" bestFit="1" customWidth="1"/>
    <col min="3074" max="3074" width="21" bestFit="1" customWidth="1"/>
    <col min="3075" max="3075" width="7" bestFit="1" customWidth="1"/>
    <col min="3076" max="3076" width="16" bestFit="1" customWidth="1"/>
    <col min="3077" max="3077" width="19" bestFit="1" customWidth="1"/>
    <col min="3078" max="3078" width="22.5546875" bestFit="1" customWidth="1"/>
    <col min="3079" max="3079" width="12" customWidth="1"/>
    <col min="3080" max="3080" width="25.88671875" customWidth="1"/>
    <col min="3081" max="3081" width="15.33203125" bestFit="1" customWidth="1"/>
    <col min="3082" max="3082" width="11" customWidth="1"/>
    <col min="3083" max="3083" width="11.109375" customWidth="1"/>
    <col min="3084" max="3084" width="16.44140625" bestFit="1" customWidth="1"/>
    <col min="3085" max="3085" width="16.88671875" customWidth="1"/>
    <col min="3086" max="3086" width="14.5546875" customWidth="1"/>
    <col min="3088" max="3088" width="57.21875" bestFit="1" customWidth="1"/>
    <col min="3089" max="3089" width="17.88671875" customWidth="1"/>
    <col min="3090" max="3090" width="16.5546875" bestFit="1" customWidth="1"/>
    <col min="3091" max="3091" width="14.33203125" bestFit="1" customWidth="1"/>
    <col min="3092" max="3092" width="14.77734375" bestFit="1" customWidth="1"/>
    <col min="3329" max="3329" width="10.109375" bestFit="1" customWidth="1"/>
    <col min="3330" max="3330" width="21" bestFit="1" customWidth="1"/>
    <col min="3331" max="3331" width="7" bestFit="1" customWidth="1"/>
    <col min="3332" max="3332" width="16" bestFit="1" customWidth="1"/>
    <col min="3333" max="3333" width="19" bestFit="1" customWidth="1"/>
    <col min="3334" max="3334" width="22.5546875" bestFit="1" customWidth="1"/>
    <col min="3335" max="3335" width="12" customWidth="1"/>
    <col min="3336" max="3336" width="25.88671875" customWidth="1"/>
    <col min="3337" max="3337" width="15.33203125" bestFit="1" customWidth="1"/>
    <col min="3338" max="3338" width="11" customWidth="1"/>
    <col min="3339" max="3339" width="11.109375" customWidth="1"/>
    <col min="3340" max="3340" width="16.44140625" bestFit="1" customWidth="1"/>
    <col min="3341" max="3341" width="16.88671875" customWidth="1"/>
    <col min="3342" max="3342" width="14.5546875" customWidth="1"/>
    <col min="3344" max="3344" width="57.21875" bestFit="1" customWidth="1"/>
    <col min="3345" max="3345" width="17.88671875" customWidth="1"/>
    <col min="3346" max="3346" width="16.5546875" bestFit="1" customWidth="1"/>
    <col min="3347" max="3347" width="14.33203125" bestFit="1" customWidth="1"/>
    <col min="3348" max="3348" width="14.77734375" bestFit="1" customWidth="1"/>
    <col min="3585" max="3585" width="10.109375" bestFit="1" customWidth="1"/>
    <col min="3586" max="3586" width="21" bestFit="1" customWidth="1"/>
    <col min="3587" max="3587" width="7" bestFit="1" customWidth="1"/>
    <col min="3588" max="3588" width="16" bestFit="1" customWidth="1"/>
    <col min="3589" max="3589" width="19" bestFit="1" customWidth="1"/>
    <col min="3590" max="3590" width="22.5546875" bestFit="1" customWidth="1"/>
    <col min="3591" max="3591" width="12" customWidth="1"/>
    <col min="3592" max="3592" width="25.88671875" customWidth="1"/>
    <col min="3593" max="3593" width="15.33203125" bestFit="1" customWidth="1"/>
    <col min="3594" max="3594" width="11" customWidth="1"/>
    <col min="3595" max="3595" width="11.109375" customWidth="1"/>
    <col min="3596" max="3596" width="16.44140625" bestFit="1" customWidth="1"/>
    <col min="3597" max="3597" width="16.88671875" customWidth="1"/>
    <col min="3598" max="3598" width="14.5546875" customWidth="1"/>
    <col min="3600" max="3600" width="57.21875" bestFit="1" customWidth="1"/>
    <col min="3601" max="3601" width="17.88671875" customWidth="1"/>
    <col min="3602" max="3602" width="16.5546875" bestFit="1" customWidth="1"/>
    <col min="3603" max="3603" width="14.33203125" bestFit="1" customWidth="1"/>
    <col min="3604" max="3604" width="14.77734375" bestFit="1" customWidth="1"/>
    <col min="3841" max="3841" width="10.109375" bestFit="1" customWidth="1"/>
    <col min="3842" max="3842" width="21" bestFit="1" customWidth="1"/>
    <col min="3843" max="3843" width="7" bestFit="1" customWidth="1"/>
    <col min="3844" max="3844" width="16" bestFit="1" customWidth="1"/>
    <col min="3845" max="3845" width="19" bestFit="1" customWidth="1"/>
    <col min="3846" max="3846" width="22.5546875" bestFit="1" customWidth="1"/>
    <col min="3847" max="3847" width="12" customWidth="1"/>
    <col min="3848" max="3848" width="25.88671875" customWidth="1"/>
    <col min="3849" max="3849" width="15.33203125" bestFit="1" customWidth="1"/>
    <col min="3850" max="3850" width="11" customWidth="1"/>
    <col min="3851" max="3851" width="11.109375" customWidth="1"/>
    <col min="3852" max="3852" width="16.44140625" bestFit="1" customWidth="1"/>
    <col min="3853" max="3853" width="16.88671875" customWidth="1"/>
    <col min="3854" max="3854" width="14.5546875" customWidth="1"/>
    <col min="3856" max="3856" width="57.21875" bestFit="1" customWidth="1"/>
    <col min="3857" max="3857" width="17.88671875" customWidth="1"/>
    <col min="3858" max="3858" width="16.5546875" bestFit="1" customWidth="1"/>
    <col min="3859" max="3859" width="14.33203125" bestFit="1" customWidth="1"/>
    <col min="3860" max="3860" width="14.77734375" bestFit="1" customWidth="1"/>
    <col min="4097" max="4097" width="10.109375" bestFit="1" customWidth="1"/>
    <col min="4098" max="4098" width="21" bestFit="1" customWidth="1"/>
    <col min="4099" max="4099" width="7" bestFit="1" customWidth="1"/>
    <col min="4100" max="4100" width="16" bestFit="1" customWidth="1"/>
    <col min="4101" max="4101" width="19" bestFit="1" customWidth="1"/>
    <col min="4102" max="4102" width="22.5546875" bestFit="1" customWidth="1"/>
    <col min="4103" max="4103" width="12" customWidth="1"/>
    <col min="4104" max="4104" width="25.88671875" customWidth="1"/>
    <col min="4105" max="4105" width="15.33203125" bestFit="1" customWidth="1"/>
    <col min="4106" max="4106" width="11" customWidth="1"/>
    <col min="4107" max="4107" width="11.109375" customWidth="1"/>
    <col min="4108" max="4108" width="16.44140625" bestFit="1" customWidth="1"/>
    <col min="4109" max="4109" width="16.88671875" customWidth="1"/>
    <col min="4110" max="4110" width="14.5546875" customWidth="1"/>
    <col min="4112" max="4112" width="57.21875" bestFit="1" customWidth="1"/>
    <col min="4113" max="4113" width="17.88671875" customWidth="1"/>
    <col min="4114" max="4114" width="16.5546875" bestFit="1" customWidth="1"/>
    <col min="4115" max="4115" width="14.33203125" bestFit="1" customWidth="1"/>
    <col min="4116" max="4116" width="14.77734375" bestFit="1" customWidth="1"/>
    <col min="4353" max="4353" width="10.109375" bestFit="1" customWidth="1"/>
    <col min="4354" max="4354" width="21" bestFit="1" customWidth="1"/>
    <col min="4355" max="4355" width="7" bestFit="1" customWidth="1"/>
    <col min="4356" max="4356" width="16" bestFit="1" customWidth="1"/>
    <col min="4357" max="4357" width="19" bestFit="1" customWidth="1"/>
    <col min="4358" max="4358" width="22.5546875" bestFit="1" customWidth="1"/>
    <col min="4359" max="4359" width="12" customWidth="1"/>
    <col min="4360" max="4360" width="25.88671875" customWidth="1"/>
    <col min="4361" max="4361" width="15.33203125" bestFit="1" customWidth="1"/>
    <col min="4362" max="4362" width="11" customWidth="1"/>
    <col min="4363" max="4363" width="11.109375" customWidth="1"/>
    <col min="4364" max="4364" width="16.44140625" bestFit="1" customWidth="1"/>
    <col min="4365" max="4365" width="16.88671875" customWidth="1"/>
    <col min="4366" max="4366" width="14.5546875" customWidth="1"/>
    <col min="4368" max="4368" width="57.21875" bestFit="1" customWidth="1"/>
    <col min="4369" max="4369" width="17.88671875" customWidth="1"/>
    <col min="4370" max="4370" width="16.5546875" bestFit="1" customWidth="1"/>
    <col min="4371" max="4371" width="14.33203125" bestFit="1" customWidth="1"/>
    <col min="4372" max="4372" width="14.77734375" bestFit="1" customWidth="1"/>
    <col min="4609" max="4609" width="10.109375" bestFit="1" customWidth="1"/>
    <col min="4610" max="4610" width="21" bestFit="1" customWidth="1"/>
    <col min="4611" max="4611" width="7" bestFit="1" customWidth="1"/>
    <col min="4612" max="4612" width="16" bestFit="1" customWidth="1"/>
    <col min="4613" max="4613" width="19" bestFit="1" customWidth="1"/>
    <col min="4614" max="4614" width="22.5546875" bestFit="1" customWidth="1"/>
    <col min="4615" max="4615" width="12" customWidth="1"/>
    <col min="4616" max="4616" width="25.88671875" customWidth="1"/>
    <col min="4617" max="4617" width="15.33203125" bestFit="1" customWidth="1"/>
    <col min="4618" max="4618" width="11" customWidth="1"/>
    <col min="4619" max="4619" width="11.109375" customWidth="1"/>
    <col min="4620" max="4620" width="16.44140625" bestFit="1" customWidth="1"/>
    <col min="4621" max="4621" width="16.88671875" customWidth="1"/>
    <col min="4622" max="4622" width="14.5546875" customWidth="1"/>
    <col min="4624" max="4624" width="57.21875" bestFit="1" customWidth="1"/>
    <col min="4625" max="4625" width="17.88671875" customWidth="1"/>
    <col min="4626" max="4626" width="16.5546875" bestFit="1" customWidth="1"/>
    <col min="4627" max="4627" width="14.33203125" bestFit="1" customWidth="1"/>
    <col min="4628" max="4628" width="14.77734375" bestFit="1" customWidth="1"/>
    <col min="4865" max="4865" width="10.109375" bestFit="1" customWidth="1"/>
    <col min="4866" max="4866" width="21" bestFit="1" customWidth="1"/>
    <col min="4867" max="4867" width="7" bestFit="1" customWidth="1"/>
    <col min="4868" max="4868" width="16" bestFit="1" customWidth="1"/>
    <col min="4869" max="4869" width="19" bestFit="1" customWidth="1"/>
    <col min="4870" max="4870" width="22.5546875" bestFit="1" customWidth="1"/>
    <col min="4871" max="4871" width="12" customWidth="1"/>
    <col min="4872" max="4872" width="25.88671875" customWidth="1"/>
    <col min="4873" max="4873" width="15.33203125" bestFit="1" customWidth="1"/>
    <col min="4874" max="4874" width="11" customWidth="1"/>
    <col min="4875" max="4875" width="11.109375" customWidth="1"/>
    <col min="4876" max="4876" width="16.44140625" bestFit="1" customWidth="1"/>
    <col min="4877" max="4877" width="16.88671875" customWidth="1"/>
    <col min="4878" max="4878" width="14.5546875" customWidth="1"/>
    <col min="4880" max="4880" width="57.21875" bestFit="1" customWidth="1"/>
    <col min="4881" max="4881" width="17.88671875" customWidth="1"/>
    <col min="4882" max="4882" width="16.5546875" bestFit="1" customWidth="1"/>
    <col min="4883" max="4883" width="14.33203125" bestFit="1" customWidth="1"/>
    <col min="4884" max="4884" width="14.77734375" bestFit="1" customWidth="1"/>
    <col min="5121" max="5121" width="10.109375" bestFit="1" customWidth="1"/>
    <col min="5122" max="5122" width="21" bestFit="1" customWidth="1"/>
    <col min="5123" max="5123" width="7" bestFit="1" customWidth="1"/>
    <col min="5124" max="5124" width="16" bestFit="1" customWidth="1"/>
    <col min="5125" max="5125" width="19" bestFit="1" customWidth="1"/>
    <col min="5126" max="5126" width="22.5546875" bestFit="1" customWidth="1"/>
    <col min="5127" max="5127" width="12" customWidth="1"/>
    <col min="5128" max="5128" width="25.88671875" customWidth="1"/>
    <col min="5129" max="5129" width="15.33203125" bestFit="1" customWidth="1"/>
    <col min="5130" max="5130" width="11" customWidth="1"/>
    <col min="5131" max="5131" width="11.109375" customWidth="1"/>
    <col min="5132" max="5132" width="16.44140625" bestFit="1" customWidth="1"/>
    <col min="5133" max="5133" width="16.88671875" customWidth="1"/>
    <col min="5134" max="5134" width="14.5546875" customWidth="1"/>
    <col min="5136" max="5136" width="57.21875" bestFit="1" customWidth="1"/>
    <col min="5137" max="5137" width="17.88671875" customWidth="1"/>
    <col min="5138" max="5138" width="16.5546875" bestFit="1" customWidth="1"/>
    <col min="5139" max="5139" width="14.33203125" bestFit="1" customWidth="1"/>
    <col min="5140" max="5140" width="14.77734375" bestFit="1" customWidth="1"/>
    <col min="5377" max="5377" width="10.109375" bestFit="1" customWidth="1"/>
    <col min="5378" max="5378" width="21" bestFit="1" customWidth="1"/>
    <col min="5379" max="5379" width="7" bestFit="1" customWidth="1"/>
    <col min="5380" max="5380" width="16" bestFit="1" customWidth="1"/>
    <col min="5381" max="5381" width="19" bestFit="1" customWidth="1"/>
    <col min="5382" max="5382" width="22.5546875" bestFit="1" customWidth="1"/>
    <col min="5383" max="5383" width="12" customWidth="1"/>
    <col min="5384" max="5384" width="25.88671875" customWidth="1"/>
    <col min="5385" max="5385" width="15.33203125" bestFit="1" customWidth="1"/>
    <col min="5386" max="5386" width="11" customWidth="1"/>
    <col min="5387" max="5387" width="11.109375" customWidth="1"/>
    <col min="5388" max="5388" width="16.44140625" bestFit="1" customWidth="1"/>
    <col min="5389" max="5389" width="16.88671875" customWidth="1"/>
    <col min="5390" max="5390" width="14.5546875" customWidth="1"/>
    <col min="5392" max="5392" width="57.21875" bestFit="1" customWidth="1"/>
    <col min="5393" max="5393" width="17.88671875" customWidth="1"/>
    <col min="5394" max="5394" width="16.5546875" bestFit="1" customWidth="1"/>
    <col min="5395" max="5395" width="14.33203125" bestFit="1" customWidth="1"/>
    <col min="5396" max="5396" width="14.77734375" bestFit="1" customWidth="1"/>
    <col min="5633" max="5633" width="10.109375" bestFit="1" customWidth="1"/>
    <col min="5634" max="5634" width="21" bestFit="1" customWidth="1"/>
    <col min="5635" max="5635" width="7" bestFit="1" customWidth="1"/>
    <col min="5636" max="5636" width="16" bestFit="1" customWidth="1"/>
    <col min="5637" max="5637" width="19" bestFit="1" customWidth="1"/>
    <col min="5638" max="5638" width="22.5546875" bestFit="1" customWidth="1"/>
    <col min="5639" max="5639" width="12" customWidth="1"/>
    <col min="5640" max="5640" width="25.88671875" customWidth="1"/>
    <col min="5641" max="5641" width="15.33203125" bestFit="1" customWidth="1"/>
    <col min="5642" max="5642" width="11" customWidth="1"/>
    <col min="5643" max="5643" width="11.109375" customWidth="1"/>
    <col min="5644" max="5644" width="16.44140625" bestFit="1" customWidth="1"/>
    <col min="5645" max="5645" width="16.88671875" customWidth="1"/>
    <col min="5646" max="5646" width="14.5546875" customWidth="1"/>
    <col min="5648" max="5648" width="57.21875" bestFit="1" customWidth="1"/>
    <col min="5649" max="5649" width="17.88671875" customWidth="1"/>
    <col min="5650" max="5650" width="16.5546875" bestFit="1" customWidth="1"/>
    <col min="5651" max="5651" width="14.33203125" bestFit="1" customWidth="1"/>
    <col min="5652" max="5652" width="14.77734375" bestFit="1" customWidth="1"/>
    <col min="5889" max="5889" width="10.109375" bestFit="1" customWidth="1"/>
    <col min="5890" max="5890" width="21" bestFit="1" customWidth="1"/>
    <col min="5891" max="5891" width="7" bestFit="1" customWidth="1"/>
    <col min="5892" max="5892" width="16" bestFit="1" customWidth="1"/>
    <col min="5893" max="5893" width="19" bestFit="1" customWidth="1"/>
    <col min="5894" max="5894" width="22.5546875" bestFit="1" customWidth="1"/>
    <col min="5895" max="5895" width="12" customWidth="1"/>
    <col min="5896" max="5896" width="25.88671875" customWidth="1"/>
    <col min="5897" max="5897" width="15.33203125" bestFit="1" customWidth="1"/>
    <col min="5898" max="5898" width="11" customWidth="1"/>
    <col min="5899" max="5899" width="11.109375" customWidth="1"/>
    <col min="5900" max="5900" width="16.44140625" bestFit="1" customWidth="1"/>
    <col min="5901" max="5901" width="16.88671875" customWidth="1"/>
    <col min="5902" max="5902" width="14.5546875" customWidth="1"/>
    <col min="5904" max="5904" width="57.21875" bestFit="1" customWidth="1"/>
    <col min="5905" max="5905" width="17.88671875" customWidth="1"/>
    <col min="5906" max="5906" width="16.5546875" bestFit="1" customWidth="1"/>
    <col min="5907" max="5907" width="14.33203125" bestFit="1" customWidth="1"/>
    <col min="5908" max="5908" width="14.77734375" bestFit="1" customWidth="1"/>
    <col min="6145" max="6145" width="10.109375" bestFit="1" customWidth="1"/>
    <col min="6146" max="6146" width="21" bestFit="1" customWidth="1"/>
    <col min="6147" max="6147" width="7" bestFit="1" customWidth="1"/>
    <col min="6148" max="6148" width="16" bestFit="1" customWidth="1"/>
    <col min="6149" max="6149" width="19" bestFit="1" customWidth="1"/>
    <col min="6150" max="6150" width="22.5546875" bestFit="1" customWidth="1"/>
    <col min="6151" max="6151" width="12" customWidth="1"/>
    <col min="6152" max="6152" width="25.88671875" customWidth="1"/>
    <col min="6153" max="6153" width="15.33203125" bestFit="1" customWidth="1"/>
    <col min="6154" max="6154" width="11" customWidth="1"/>
    <col min="6155" max="6155" width="11.109375" customWidth="1"/>
    <col min="6156" max="6156" width="16.44140625" bestFit="1" customWidth="1"/>
    <col min="6157" max="6157" width="16.88671875" customWidth="1"/>
    <col min="6158" max="6158" width="14.5546875" customWidth="1"/>
    <col min="6160" max="6160" width="57.21875" bestFit="1" customWidth="1"/>
    <col min="6161" max="6161" width="17.88671875" customWidth="1"/>
    <col min="6162" max="6162" width="16.5546875" bestFit="1" customWidth="1"/>
    <col min="6163" max="6163" width="14.33203125" bestFit="1" customWidth="1"/>
    <col min="6164" max="6164" width="14.77734375" bestFit="1" customWidth="1"/>
    <col min="6401" max="6401" width="10.109375" bestFit="1" customWidth="1"/>
    <col min="6402" max="6402" width="21" bestFit="1" customWidth="1"/>
    <col min="6403" max="6403" width="7" bestFit="1" customWidth="1"/>
    <col min="6404" max="6404" width="16" bestFit="1" customWidth="1"/>
    <col min="6405" max="6405" width="19" bestFit="1" customWidth="1"/>
    <col min="6406" max="6406" width="22.5546875" bestFit="1" customWidth="1"/>
    <col min="6407" max="6407" width="12" customWidth="1"/>
    <col min="6408" max="6408" width="25.88671875" customWidth="1"/>
    <col min="6409" max="6409" width="15.33203125" bestFit="1" customWidth="1"/>
    <col min="6410" max="6410" width="11" customWidth="1"/>
    <col min="6411" max="6411" width="11.109375" customWidth="1"/>
    <col min="6412" max="6412" width="16.44140625" bestFit="1" customWidth="1"/>
    <col min="6413" max="6413" width="16.88671875" customWidth="1"/>
    <col min="6414" max="6414" width="14.5546875" customWidth="1"/>
    <col min="6416" max="6416" width="57.21875" bestFit="1" customWidth="1"/>
    <col min="6417" max="6417" width="17.88671875" customWidth="1"/>
    <col min="6418" max="6418" width="16.5546875" bestFit="1" customWidth="1"/>
    <col min="6419" max="6419" width="14.33203125" bestFit="1" customWidth="1"/>
    <col min="6420" max="6420" width="14.77734375" bestFit="1" customWidth="1"/>
    <col min="6657" max="6657" width="10.109375" bestFit="1" customWidth="1"/>
    <col min="6658" max="6658" width="21" bestFit="1" customWidth="1"/>
    <col min="6659" max="6659" width="7" bestFit="1" customWidth="1"/>
    <col min="6660" max="6660" width="16" bestFit="1" customWidth="1"/>
    <col min="6661" max="6661" width="19" bestFit="1" customWidth="1"/>
    <col min="6662" max="6662" width="22.5546875" bestFit="1" customWidth="1"/>
    <col min="6663" max="6663" width="12" customWidth="1"/>
    <col min="6664" max="6664" width="25.88671875" customWidth="1"/>
    <col min="6665" max="6665" width="15.33203125" bestFit="1" customWidth="1"/>
    <col min="6666" max="6666" width="11" customWidth="1"/>
    <col min="6667" max="6667" width="11.109375" customWidth="1"/>
    <col min="6668" max="6668" width="16.44140625" bestFit="1" customWidth="1"/>
    <col min="6669" max="6669" width="16.88671875" customWidth="1"/>
    <col min="6670" max="6670" width="14.5546875" customWidth="1"/>
    <col min="6672" max="6672" width="57.21875" bestFit="1" customWidth="1"/>
    <col min="6673" max="6673" width="17.88671875" customWidth="1"/>
    <col min="6674" max="6674" width="16.5546875" bestFit="1" customWidth="1"/>
    <col min="6675" max="6675" width="14.33203125" bestFit="1" customWidth="1"/>
    <col min="6676" max="6676" width="14.77734375" bestFit="1" customWidth="1"/>
    <col min="6913" max="6913" width="10.109375" bestFit="1" customWidth="1"/>
    <col min="6914" max="6914" width="21" bestFit="1" customWidth="1"/>
    <col min="6915" max="6915" width="7" bestFit="1" customWidth="1"/>
    <col min="6916" max="6916" width="16" bestFit="1" customWidth="1"/>
    <col min="6917" max="6917" width="19" bestFit="1" customWidth="1"/>
    <col min="6918" max="6918" width="22.5546875" bestFit="1" customWidth="1"/>
    <col min="6919" max="6919" width="12" customWidth="1"/>
    <col min="6920" max="6920" width="25.88671875" customWidth="1"/>
    <col min="6921" max="6921" width="15.33203125" bestFit="1" customWidth="1"/>
    <col min="6922" max="6922" width="11" customWidth="1"/>
    <col min="6923" max="6923" width="11.109375" customWidth="1"/>
    <col min="6924" max="6924" width="16.44140625" bestFit="1" customWidth="1"/>
    <col min="6925" max="6925" width="16.88671875" customWidth="1"/>
    <col min="6926" max="6926" width="14.5546875" customWidth="1"/>
    <col min="6928" max="6928" width="57.21875" bestFit="1" customWidth="1"/>
    <col min="6929" max="6929" width="17.88671875" customWidth="1"/>
    <col min="6930" max="6930" width="16.5546875" bestFit="1" customWidth="1"/>
    <col min="6931" max="6931" width="14.33203125" bestFit="1" customWidth="1"/>
    <col min="6932" max="6932" width="14.77734375" bestFit="1" customWidth="1"/>
    <col min="7169" max="7169" width="10.109375" bestFit="1" customWidth="1"/>
    <col min="7170" max="7170" width="21" bestFit="1" customWidth="1"/>
    <col min="7171" max="7171" width="7" bestFit="1" customWidth="1"/>
    <col min="7172" max="7172" width="16" bestFit="1" customWidth="1"/>
    <col min="7173" max="7173" width="19" bestFit="1" customWidth="1"/>
    <col min="7174" max="7174" width="22.5546875" bestFit="1" customWidth="1"/>
    <col min="7175" max="7175" width="12" customWidth="1"/>
    <col min="7176" max="7176" width="25.88671875" customWidth="1"/>
    <col min="7177" max="7177" width="15.33203125" bestFit="1" customWidth="1"/>
    <col min="7178" max="7178" width="11" customWidth="1"/>
    <col min="7179" max="7179" width="11.109375" customWidth="1"/>
    <col min="7180" max="7180" width="16.44140625" bestFit="1" customWidth="1"/>
    <col min="7181" max="7181" width="16.88671875" customWidth="1"/>
    <col min="7182" max="7182" width="14.5546875" customWidth="1"/>
    <col min="7184" max="7184" width="57.21875" bestFit="1" customWidth="1"/>
    <col min="7185" max="7185" width="17.88671875" customWidth="1"/>
    <col min="7186" max="7186" width="16.5546875" bestFit="1" customWidth="1"/>
    <col min="7187" max="7187" width="14.33203125" bestFit="1" customWidth="1"/>
    <col min="7188" max="7188" width="14.77734375" bestFit="1" customWidth="1"/>
    <col min="7425" max="7425" width="10.109375" bestFit="1" customWidth="1"/>
    <col min="7426" max="7426" width="21" bestFit="1" customWidth="1"/>
    <col min="7427" max="7427" width="7" bestFit="1" customWidth="1"/>
    <col min="7428" max="7428" width="16" bestFit="1" customWidth="1"/>
    <col min="7429" max="7429" width="19" bestFit="1" customWidth="1"/>
    <col min="7430" max="7430" width="22.5546875" bestFit="1" customWidth="1"/>
    <col min="7431" max="7431" width="12" customWidth="1"/>
    <col min="7432" max="7432" width="25.88671875" customWidth="1"/>
    <col min="7433" max="7433" width="15.33203125" bestFit="1" customWidth="1"/>
    <col min="7434" max="7434" width="11" customWidth="1"/>
    <col min="7435" max="7435" width="11.109375" customWidth="1"/>
    <col min="7436" max="7436" width="16.44140625" bestFit="1" customWidth="1"/>
    <col min="7437" max="7437" width="16.88671875" customWidth="1"/>
    <col min="7438" max="7438" width="14.5546875" customWidth="1"/>
    <col min="7440" max="7440" width="57.21875" bestFit="1" customWidth="1"/>
    <col min="7441" max="7441" width="17.88671875" customWidth="1"/>
    <col min="7442" max="7442" width="16.5546875" bestFit="1" customWidth="1"/>
    <col min="7443" max="7443" width="14.33203125" bestFit="1" customWidth="1"/>
    <col min="7444" max="7444" width="14.77734375" bestFit="1" customWidth="1"/>
    <col min="7681" max="7681" width="10.109375" bestFit="1" customWidth="1"/>
    <col min="7682" max="7682" width="21" bestFit="1" customWidth="1"/>
    <col min="7683" max="7683" width="7" bestFit="1" customWidth="1"/>
    <col min="7684" max="7684" width="16" bestFit="1" customWidth="1"/>
    <col min="7685" max="7685" width="19" bestFit="1" customWidth="1"/>
    <col min="7686" max="7686" width="22.5546875" bestFit="1" customWidth="1"/>
    <col min="7687" max="7687" width="12" customWidth="1"/>
    <col min="7688" max="7688" width="25.88671875" customWidth="1"/>
    <col min="7689" max="7689" width="15.33203125" bestFit="1" customWidth="1"/>
    <col min="7690" max="7690" width="11" customWidth="1"/>
    <col min="7691" max="7691" width="11.109375" customWidth="1"/>
    <col min="7692" max="7692" width="16.44140625" bestFit="1" customWidth="1"/>
    <col min="7693" max="7693" width="16.88671875" customWidth="1"/>
    <col min="7694" max="7694" width="14.5546875" customWidth="1"/>
    <col min="7696" max="7696" width="57.21875" bestFit="1" customWidth="1"/>
    <col min="7697" max="7697" width="17.88671875" customWidth="1"/>
    <col min="7698" max="7698" width="16.5546875" bestFit="1" customWidth="1"/>
    <col min="7699" max="7699" width="14.33203125" bestFit="1" customWidth="1"/>
    <col min="7700" max="7700" width="14.77734375" bestFit="1" customWidth="1"/>
    <col min="7937" max="7937" width="10.109375" bestFit="1" customWidth="1"/>
    <col min="7938" max="7938" width="21" bestFit="1" customWidth="1"/>
    <col min="7939" max="7939" width="7" bestFit="1" customWidth="1"/>
    <col min="7940" max="7940" width="16" bestFit="1" customWidth="1"/>
    <col min="7941" max="7941" width="19" bestFit="1" customWidth="1"/>
    <col min="7942" max="7942" width="22.5546875" bestFit="1" customWidth="1"/>
    <col min="7943" max="7943" width="12" customWidth="1"/>
    <col min="7944" max="7944" width="25.88671875" customWidth="1"/>
    <col min="7945" max="7945" width="15.33203125" bestFit="1" customWidth="1"/>
    <col min="7946" max="7946" width="11" customWidth="1"/>
    <col min="7947" max="7947" width="11.109375" customWidth="1"/>
    <col min="7948" max="7948" width="16.44140625" bestFit="1" customWidth="1"/>
    <col min="7949" max="7949" width="16.88671875" customWidth="1"/>
    <col min="7950" max="7950" width="14.5546875" customWidth="1"/>
    <col min="7952" max="7952" width="57.21875" bestFit="1" customWidth="1"/>
    <col min="7953" max="7953" width="17.88671875" customWidth="1"/>
    <col min="7954" max="7954" width="16.5546875" bestFit="1" customWidth="1"/>
    <col min="7955" max="7955" width="14.33203125" bestFit="1" customWidth="1"/>
    <col min="7956" max="7956" width="14.77734375" bestFit="1" customWidth="1"/>
    <col min="8193" max="8193" width="10.109375" bestFit="1" customWidth="1"/>
    <col min="8194" max="8194" width="21" bestFit="1" customWidth="1"/>
    <col min="8195" max="8195" width="7" bestFit="1" customWidth="1"/>
    <col min="8196" max="8196" width="16" bestFit="1" customWidth="1"/>
    <col min="8197" max="8197" width="19" bestFit="1" customWidth="1"/>
    <col min="8198" max="8198" width="22.5546875" bestFit="1" customWidth="1"/>
    <col min="8199" max="8199" width="12" customWidth="1"/>
    <col min="8200" max="8200" width="25.88671875" customWidth="1"/>
    <col min="8201" max="8201" width="15.33203125" bestFit="1" customWidth="1"/>
    <col min="8202" max="8202" width="11" customWidth="1"/>
    <col min="8203" max="8203" width="11.109375" customWidth="1"/>
    <col min="8204" max="8204" width="16.44140625" bestFit="1" customWidth="1"/>
    <col min="8205" max="8205" width="16.88671875" customWidth="1"/>
    <col min="8206" max="8206" width="14.5546875" customWidth="1"/>
    <col min="8208" max="8208" width="57.21875" bestFit="1" customWidth="1"/>
    <col min="8209" max="8209" width="17.88671875" customWidth="1"/>
    <col min="8210" max="8210" width="16.5546875" bestFit="1" customWidth="1"/>
    <col min="8211" max="8211" width="14.33203125" bestFit="1" customWidth="1"/>
    <col min="8212" max="8212" width="14.77734375" bestFit="1" customWidth="1"/>
    <col min="8449" max="8449" width="10.109375" bestFit="1" customWidth="1"/>
    <col min="8450" max="8450" width="21" bestFit="1" customWidth="1"/>
    <col min="8451" max="8451" width="7" bestFit="1" customWidth="1"/>
    <col min="8452" max="8452" width="16" bestFit="1" customWidth="1"/>
    <col min="8453" max="8453" width="19" bestFit="1" customWidth="1"/>
    <col min="8454" max="8454" width="22.5546875" bestFit="1" customWidth="1"/>
    <col min="8455" max="8455" width="12" customWidth="1"/>
    <col min="8456" max="8456" width="25.88671875" customWidth="1"/>
    <col min="8457" max="8457" width="15.33203125" bestFit="1" customWidth="1"/>
    <col min="8458" max="8458" width="11" customWidth="1"/>
    <col min="8459" max="8459" width="11.109375" customWidth="1"/>
    <col min="8460" max="8460" width="16.44140625" bestFit="1" customWidth="1"/>
    <col min="8461" max="8461" width="16.88671875" customWidth="1"/>
    <col min="8462" max="8462" width="14.5546875" customWidth="1"/>
    <col min="8464" max="8464" width="57.21875" bestFit="1" customWidth="1"/>
    <col min="8465" max="8465" width="17.88671875" customWidth="1"/>
    <col min="8466" max="8466" width="16.5546875" bestFit="1" customWidth="1"/>
    <col min="8467" max="8467" width="14.33203125" bestFit="1" customWidth="1"/>
    <col min="8468" max="8468" width="14.77734375" bestFit="1" customWidth="1"/>
    <col min="8705" max="8705" width="10.109375" bestFit="1" customWidth="1"/>
    <col min="8706" max="8706" width="21" bestFit="1" customWidth="1"/>
    <col min="8707" max="8707" width="7" bestFit="1" customWidth="1"/>
    <col min="8708" max="8708" width="16" bestFit="1" customWidth="1"/>
    <col min="8709" max="8709" width="19" bestFit="1" customWidth="1"/>
    <col min="8710" max="8710" width="22.5546875" bestFit="1" customWidth="1"/>
    <col min="8711" max="8711" width="12" customWidth="1"/>
    <col min="8712" max="8712" width="25.88671875" customWidth="1"/>
    <col min="8713" max="8713" width="15.33203125" bestFit="1" customWidth="1"/>
    <col min="8714" max="8714" width="11" customWidth="1"/>
    <col min="8715" max="8715" width="11.109375" customWidth="1"/>
    <col min="8716" max="8716" width="16.44140625" bestFit="1" customWidth="1"/>
    <col min="8717" max="8717" width="16.88671875" customWidth="1"/>
    <col min="8718" max="8718" width="14.5546875" customWidth="1"/>
    <col min="8720" max="8720" width="57.21875" bestFit="1" customWidth="1"/>
    <col min="8721" max="8721" width="17.88671875" customWidth="1"/>
    <col min="8722" max="8722" width="16.5546875" bestFit="1" customWidth="1"/>
    <col min="8723" max="8723" width="14.33203125" bestFit="1" customWidth="1"/>
    <col min="8724" max="8724" width="14.77734375" bestFit="1" customWidth="1"/>
    <col min="8961" max="8961" width="10.109375" bestFit="1" customWidth="1"/>
    <col min="8962" max="8962" width="21" bestFit="1" customWidth="1"/>
    <col min="8963" max="8963" width="7" bestFit="1" customWidth="1"/>
    <col min="8964" max="8964" width="16" bestFit="1" customWidth="1"/>
    <col min="8965" max="8965" width="19" bestFit="1" customWidth="1"/>
    <col min="8966" max="8966" width="22.5546875" bestFit="1" customWidth="1"/>
    <col min="8967" max="8967" width="12" customWidth="1"/>
    <col min="8968" max="8968" width="25.88671875" customWidth="1"/>
    <col min="8969" max="8969" width="15.33203125" bestFit="1" customWidth="1"/>
    <col min="8970" max="8970" width="11" customWidth="1"/>
    <col min="8971" max="8971" width="11.109375" customWidth="1"/>
    <col min="8972" max="8972" width="16.44140625" bestFit="1" customWidth="1"/>
    <col min="8973" max="8973" width="16.88671875" customWidth="1"/>
    <col min="8974" max="8974" width="14.5546875" customWidth="1"/>
    <col min="8976" max="8976" width="57.21875" bestFit="1" customWidth="1"/>
    <col min="8977" max="8977" width="17.88671875" customWidth="1"/>
    <col min="8978" max="8978" width="16.5546875" bestFit="1" customWidth="1"/>
    <col min="8979" max="8979" width="14.33203125" bestFit="1" customWidth="1"/>
    <col min="8980" max="8980" width="14.77734375" bestFit="1" customWidth="1"/>
    <col min="9217" max="9217" width="10.109375" bestFit="1" customWidth="1"/>
    <col min="9218" max="9218" width="21" bestFit="1" customWidth="1"/>
    <col min="9219" max="9219" width="7" bestFit="1" customWidth="1"/>
    <col min="9220" max="9220" width="16" bestFit="1" customWidth="1"/>
    <col min="9221" max="9221" width="19" bestFit="1" customWidth="1"/>
    <col min="9222" max="9222" width="22.5546875" bestFit="1" customWidth="1"/>
    <col min="9223" max="9223" width="12" customWidth="1"/>
    <col min="9224" max="9224" width="25.88671875" customWidth="1"/>
    <col min="9225" max="9225" width="15.33203125" bestFit="1" customWidth="1"/>
    <col min="9226" max="9226" width="11" customWidth="1"/>
    <col min="9227" max="9227" width="11.109375" customWidth="1"/>
    <col min="9228" max="9228" width="16.44140625" bestFit="1" customWidth="1"/>
    <col min="9229" max="9229" width="16.88671875" customWidth="1"/>
    <col min="9230" max="9230" width="14.5546875" customWidth="1"/>
    <col min="9232" max="9232" width="57.21875" bestFit="1" customWidth="1"/>
    <col min="9233" max="9233" width="17.88671875" customWidth="1"/>
    <col min="9234" max="9234" width="16.5546875" bestFit="1" customWidth="1"/>
    <col min="9235" max="9235" width="14.33203125" bestFit="1" customWidth="1"/>
    <col min="9236" max="9236" width="14.77734375" bestFit="1" customWidth="1"/>
    <col min="9473" max="9473" width="10.109375" bestFit="1" customWidth="1"/>
    <col min="9474" max="9474" width="21" bestFit="1" customWidth="1"/>
    <col min="9475" max="9475" width="7" bestFit="1" customWidth="1"/>
    <col min="9476" max="9476" width="16" bestFit="1" customWidth="1"/>
    <col min="9477" max="9477" width="19" bestFit="1" customWidth="1"/>
    <col min="9478" max="9478" width="22.5546875" bestFit="1" customWidth="1"/>
    <col min="9479" max="9479" width="12" customWidth="1"/>
    <col min="9480" max="9480" width="25.88671875" customWidth="1"/>
    <col min="9481" max="9481" width="15.33203125" bestFit="1" customWidth="1"/>
    <col min="9482" max="9482" width="11" customWidth="1"/>
    <col min="9483" max="9483" width="11.109375" customWidth="1"/>
    <col min="9484" max="9484" width="16.44140625" bestFit="1" customWidth="1"/>
    <col min="9485" max="9485" width="16.88671875" customWidth="1"/>
    <col min="9486" max="9486" width="14.5546875" customWidth="1"/>
    <col min="9488" max="9488" width="57.21875" bestFit="1" customWidth="1"/>
    <col min="9489" max="9489" width="17.88671875" customWidth="1"/>
    <col min="9490" max="9490" width="16.5546875" bestFit="1" customWidth="1"/>
    <col min="9491" max="9491" width="14.33203125" bestFit="1" customWidth="1"/>
    <col min="9492" max="9492" width="14.77734375" bestFit="1" customWidth="1"/>
    <col min="9729" max="9729" width="10.109375" bestFit="1" customWidth="1"/>
    <col min="9730" max="9730" width="21" bestFit="1" customWidth="1"/>
    <col min="9731" max="9731" width="7" bestFit="1" customWidth="1"/>
    <col min="9732" max="9732" width="16" bestFit="1" customWidth="1"/>
    <col min="9733" max="9733" width="19" bestFit="1" customWidth="1"/>
    <col min="9734" max="9734" width="22.5546875" bestFit="1" customWidth="1"/>
    <col min="9735" max="9735" width="12" customWidth="1"/>
    <col min="9736" max="9736" width="25.88671875" customWidth="1"/>
    <col min="9737" max="9737" width="15.33203125" bestFit="1" customWidth="1"/>
    <col min="9738" max="9738" width="11" customWidth="1"/>
    <col min="9739" max="9739" width="11.109375" customWidth="1"/>
    <col min="9740" max="9740" width="16.44140625" bestFit="1" customWidth="1"/>
    <col min="9741" max="9741" width="16.88671875" customWidth="1"/>
    <col min="9742" max="9742" width="14.5546875" customWidth="1"/>
    <col min="9744" max="9744" width="57.21875" bestFit="1" customWidth="1"/>
    <col min="9745" max="9745" width="17.88671875" customWidth="1"/>
    <col min="9746" max="9746" width="16.5546875" bestFit="1" customWidth="1"/>
    <col min="9747" max="9747" width="14.33203125" bestFit="1" customWidth="1"/>
    <col min="9748" max="9748" width="14.77734375" bestFit="1" customWidth="1"/>
    <col min="9985" max="9985" width="10.109375" bestFit="1" customWidth="1"/>
    <col min="9986" max="9986" width="21" bestFit="1" customWidth="1"/>
    <col min="9987" max="9987" width="7" bestFit="1" customWidth="1"/>
    <col min="9988" max="9988" width="16" bestFit="1" customWidth="1"/>
    <col min="9989" max="9989" width="19" bestFit="1" customWidth="1"/>
    <col min="9990" max="9990" width="22.5546875" bestFit="1" customWidth="1"/>
    <col min="9991" max="9991" width="12" customWidth="1"/>
    <col min="9992" max="9992" width="25.88671875" customWidth="1"/>
    <col min="9993" max="9993" width="15.33203125" bestFit="1" customWidth="1"/>
    <col min="9994" max="9994" width="11" customWidth="1"/>
    <col min="9995" max="9995" width="11.109375" customWidth="1"/>
    <col min="9996" max="9996" width="16.44140625" bestFit="1" customWidth="1"/>
    <col min="9997" max="9997" width="16.88671875" customWidth="1"/>
    <col min="9998" max="9998" width="14.5546875" customWidth="1"/>
    <col min="10000" max="10000" width="57.21875" bestFit="1" customWidth="1"/>
    <col min="10001" max="10001" width="17.88671875" customWidth="1"/>
    <col min="10002" max="10002" width="16.5546875" bestFit="1" customWidth="1"/>
    <col min="10003" max="10003" width="14.33203125" bestFit="1" customWidth="1"/>
    <col min="10004" max="10004" width="14.77734375" bestFit="1" customWidth="1"/>
    <col min="10241" max="10241" width="10.109375" bestFit="1" customWidth="1"/>
    <col min="10242" max="10242" width="21" bestFit="1" customWidth="1"/>
    <col min="10243" max="10243" width="7" bestFit="1" customWidth="1"/>
    <col min="10244" max="10244" width="16" bestFit="1" customWidth="1"/>
    <col min="10245" max="10245" width="19" bestFit="1" customWidth="1"/>
    <col min="10246" max="10246" width="22.5546875" bestFit="1" customWidth="1"/>
    <col min="10247" max="10247" width="12" customWidth="1"/>
    <col min="10248" max="10248" width="25.88671875" customWidth="1"/>
    <col min="10249" max="10249" width="15.33203125" bestFit="1" customWidth="1"/>
    <col min="10250" max="10250" width="11" customWidth="1"/>
    <col min="10251" max="10251" width="11.109375" customWidth="1"/>
    <col min="10252" max="10252" width="16.44140625" bestFit="1" customWidth="1"/>
    <col min="10253" max="10253" width="16.88671875" customWidth="1"/>
    <col min="10254" max="10254" width="14.5546875" customWidth="1"/>
    <col min="10256" max="10256" width="57.21875" bestFit="1" customWidth="1"/>
    <col min="10257" max="10257" width="17.88671875" customWidth="1"/>
    <col min="10258" max="10258" width="16.5546875" bestFit="1" customWidth="1"/>
    <col min="10259" max="10259" width="14.33203125" bestFit="1" customWidth="1"/>
    <col min="10260" max="10260" width="14.77734375" bestFit="1" customWidth="1"/>
    <col min="10497" max="10497" width="10.109375" bestFit="1" customWidth="1"/>
    <col min="10498" max="10498" width="21" bestFit="1" customWidth="1"/>
    <col min="10499" max="10499" width="7" bestFit="1" customWidth="1"/>
    <col min="10500" max="10500" width="16" bestFit="1" customWidth="1"/>
    <col min="10501" max="10501" width="19" bestFit="1" customWidth="1"/>
    <col min="10502" max="10502" width="22.5546875" bestFit="1" customWidth="1"/>
    <col min="10503" max="10503" width="12" customWidth="1"/>
    <col min="10504" max="10504" width="25.88671875" customWidth="1"/>
    <col min="10505" max="10505" width="15.33203125" bestFit="1" customWidth="1"/>
    <col min="10506" max="10506" width="11" customWidth="1"/>
    <col min="10507" max="10507" width="11.109375" customWidth="1"/>
    <col min="10508" max="10508" width="16.44140625" bestFit="1" customWidth="1"/>
    <col min="10509" max="10509" width="16.88671875" customWidth="1"/>
    <col min="10510" max="10510" width="14.5546875" customWidth="1"/>
    <col min="10512" max="10512" width="57.21875" bestFit="1" customWidth="1"/>
    <col min="10513" max="10513" width="17.88671875" customWidth="1"/>
    <col min="10514" max="10514" width="16.5546875" bestFit="1" customWidth="1"/>
    <col min="10515" max="10515" width="14.33203125" bestFit="1" customWidth="1"/>
    <col min="10516" max="10516" width="14.77734375" bestFit="1" customWidth="1"/>
    <col min="10753" max="10753" width="10.109375" bestFit="1" customWidth="1"/>
    <col min="10754" max="10754" width="21" bestFit="1" customWidth="1"/>
    <col min="10755" max="10755" width="7" bestFit="1" customWidth="1"/>
    <col min="10756" max="10756" width="16" bestFit="1" customWidth="1"/>
    <col min="10757" max="10757" width="19" bestFit="1" customWidth="1"/>
    <col min="10758" max="10758" width="22.5546875" bestFit="1" customWidth="1"/>
    <col min="10759" max="10759" width="12" customWidth="1"/>
    <col min="10760" max="10760" width="25.88671875" customWidth="1"/>
    <col min="10761" max="10761" width="15.33203125" bestFit="1" customWidth="1"/>
    <col min="10762" max="10762" width="11" customWidth="1"/>
    <col min="10763" max="10763" width="11.109375" customWidth="1"/>
    <col min="10764" max="10764" width="16.44140625" bestFit="1" customWidth="1"/>
    <col min="10765" max="10765" width="16.88671875" customWidth="1"/>
    <col min="10766" max="10766" width="14.5546875" customWidth="1"/>
    <col min="10768" max="10768" width="57.21875" bestFit="1" customWidth="1"/>
    <col min="10769" max="10769" width="17.88671875" customWidth="1"/>
    <col min="10770" max="10770" width="16.5546875" bestFit="1" customWidth="1"/>
    <col min="10771" max="10771" width="14.33203125" bestFit="1" customWidth="1"/>
    <col min="10772" max="10772" width="14.77734375" bestFit="1" customWidth="1"/>
    <col min="11009" max="11009" width="10.109375" bestFit="1" customWidth="1"/>
    <col min="11010" max="11010" width="21" bestFit="1" customWidth="1"/>
    <col min="11011" max="11011" width="7" bestFit="1" customWidth="1"/>
    <col min="11012" max="11012" width="16" bestFit="1" customWidth="1"/>
    <col min="11013" max="11013" width="19" bestFit="1" customWidth="1"/>
    <col min="11014" max="11014" width="22.5546875" bestFit="1" customWidth="1"/>
    <col min="11015" max="11015" width="12" customWidth="1"/>
    <col min="11016" max="11016" width="25.88671875" customWidth="1"/>
    <col min="11017" max="11017" width="15.33203125" bestFit="1" customWidth="1"/>
    <col min="11018" max="11018" width="11" customWidth="1"/>
    <col min="11019" max="11019" width="11.109375" customWidth="1"/>
    <col min="11020" max="11020" width="16.44140625" bestFit="1" customWidth="1"/>
    <col min="11021" max="11021" width="16.88671875" customWidth="1"/>
    <col min="11022" max="11022" width="14.5546875" customWidth="1"/>
    <col min="11024" max="11024" width="57.21875" bestFit="1" customWidth="1"/>
    <col min="11025" max="11025" width="17.88671875" customWidth="1"/>
    <col min="11026" max="11026" width="16.5546875" bestFit="1" customWidth="1"/>
    <col min="11027" max="11027" width="14.33203125" bestFit="1" customWidth="1"/>
    <col min="11028" max="11028" width="14.77734375" bestFit="1" customWidth="1"/>
    <col min="11265" max="11265" width="10.109375" bestFit="1" customWidth="1"/>
    <col min="11266" max="11266" width="21" bestFit="1" customWidth="1"/>
    <col min="11267" max="11267" width="7" bestFit="1" customWidth="1"/>
    <col min="11268" max="11268" width="16" bestFit="1" customWidth="1"/>
    <col min="11269" max="11269" width="19" bestFit="1" customWidth="1"/>
    <col min="11270" max="11270" width="22.5546875" bestFit="1" customWidth="1"/>
    <col min="11271" max="11271" width="12" customWidth="1"/>
    <col min="11272" max="11272" width="25.88671875" customWidth="1"/>
    <col min="11273" max="11273" width="15.33203125" bestFit="1" customWidth="1"/>
    <col min="11274" max="11274" width="11" customWidth="1"/>
    <col min="11275" max="11275" width="11.109375" customWidth="1"/>
    <col min="11276" max="11276" width="16.44140625" bestFit="1" customWidth="1"/>
    <col min="11277" max="11277" width="16.88671875" customWidth="1"/>
    <col min="11278" max="11278" width="14.5546875" customWidth="1"/>
    <col min="11280" max="11280" width="57.21875" bestFit="1" customWidth="1"/>
    <col min="11281" max="11281" width="17.88671875" customWidth="1"/>
    <col min="11282" max="11282" width="16.5546875" bestFit="1" customWidth="1"/>
    <col min="11283" max="11283" width="14.33203125" bestFit="1" customWidth="1"/>
    <col min="11284" max="11284" width="14.77734375" bestFit="1" customWidth="1"/>
    <col min="11521" max="11521" width="10.109375" bestFit="1" customWidth="1"/>
    <col min="11522" max="11522" width="21" bestFit="1" customWidth="1"/>
    <col min="11523" max="11523" width="7" bestFit="1" customWidth="1"/>
    <col min="11524" max="11524" width="16" bestFit="1" customWidth="1"/>
    <col min="11525" max="11525" width="19" bestFit="1" customWidth="1"/>
    <col min="11526" max="11526" width="22.5546875" bestFit="1" customWidth="1"/>
    <col min="11527" max="11527" width="12" customWidth="1"/>
    <col min="11528" max="11528" width="25.88671875" customWidth="1"/>
    <col min="11529" max="11529" width="15.33203125" bestFit="1" customWidth="1"/>
    <col min="11530" max="11530" width="11" customWidth="1"/>
    <col min="11531" max="11531" width="11.109375" customWidth="1"/>
    <col min="11532" max="11532" width="16.44140625" bestFit="1" customWidth="1"/>
    <col min="11533" max="11533" width="16.88671875" customWidth="1"/>
    <col min="11534" max="11534" width="14.5546875" customWidth="1"/>
    <col min="11536" max="11536" width="57.21875" bestFit="1" customWidth="1"/>
    <col min="11537" max="11537" width="17.88671875" customWidth="1"/>
    <col min="11538" max="11538" width="16.5546875" bestFit="1" customWidth="1"/>
    <col min="11539" max="11539" width="14.33203125" bestFit="1" customWidth="1"/>
    <col min="11540" max="11540" width="14.77734375" bestFit="1" customWidth="1"/>
    <col min="11777" max="11777" width="10.109375" bestFit="1" customWidth="1"/>
    <col min="11778" max="11778" width="21" bestFit="1" customWidth="1"/>
    <col min="11779" max="11779" width="7" bestFit="1" customWidth="1"/>
    <col min="11780" max="11780" width="16" bestFit="1" customWidth="1"/>
    <col min="11781" max="11781" width="19" bestFit="1" customWidth="1"/>
    <col min="11782" max="11782" width="22.5546875" bestFit="1" customWidth="1"/>
    <col min="11783" max="11783" width="12" customWidth="1"/>
    <col min="11784" max="11784" width="25.88671875" customWidth="1"/>
    <col min="11785" max="11785" width="15.33203125" bestFit="1" customWidth="1"/>
    <col min="11786" max="11786" width="11" customWidth="1"/>
    <col min="11787" max="11787" width="11.109375" customWidth="1"/>
    <col min="11788" max="11788" width="16.44140625" bestFit="1" customWidth="1"/>
    <col min="11789" max="11789" width="16.88671875" customWidth="1"/>
    <col min="11790" max="11790" width="14.5546875" customWidth="1"/>
    <col min="11792" max="11792" width="57.21875" bestFit="1" customWidth="1"/>
    <col min="11793" max="11793" width="17.88671875" customWidth="1"/>
    <col min="11794" max="11794" width="16.5546875" bestFit="1" customWidth="1"/>
    <col min="11795" max="11795" width="14.33203125" bestFit="1" customWidth="1"/>
    <col min="11796" max="11796" width="14.77734375" bestFit="1" customWidth="1"/>
    <col min="12033" max="12033" width="10.109375" bestFit="1" customWidth="1"/>
    <col min="12034" max="12034" width="21" bestFit="1" customWidth="1"/>
    <col min="12035" max="12035" width="7" bestFit="1" customWidth="1"/>
    <col min="12036" max="12036" width="16" bestFit="1" customWidth="1"/>
    <col min="12037" max="12037" width="19" bestFit="1" customWidth="1"/>
    <col min="12038" max="12038" width="22.5546875" bestFit="1" customWidth="1"/>
    <col min="12039" max="12039" width="12" customWidth="1"/>
    <col min="12040" max="12040" width="25.88671875" customWidth="1"/>
    <col min="12041" max="12041" width="15.33203125" bestFit="1" customWidth="1"/>
    <col min="12042" max="12042" width="11" customWidth="1"/>
    <col min="12043" max="12043" width="11.109375" customWidth="1"/>
    <col min="12044" max="12044" width="16.44140625" bestFit="1" customWidth="1"/>
    <col min="12045" max="12045" width="16.88671875" customWidth="1"/>
    <col min="12046" max="12046" width="14.5546875" customWidth="1"/>
    <col min="12048" max="12048" width="57.21875" bestFit="1" customWidth="1"/>
    <col min="12049" max="12049" width="17.88671875" customWidth="1"/>
    <col min="12050" max="12050" width="16.5546875" bestFit="1" customWidth="1"/>
    <col min="12051" max="12051" width="14.33203125" bestFit="1" customWidth="1"/>
    <col min="12052" max="12052" width="14.77734375" bestFit="1" customWidth="1"/>
    <col min="12289" max="12289" width="10.109375" bestFit="1" customWidth="1"/>
    <col min="12290" max="12290" width="21" bestFit="1" customWidth="1"/>
    <col min="12291" max="12291" width="7" bestFit="1" customWidth="1"/>
    <col min="12292" max="12292" width="16" bestFit="1" customWidth="1"/>
    <col min="12293" max="12293" width="19" bestFit="1" customWidth="1"/>
    <col min="12294" max="12294" width="22.5546875" bestFit="1" customWidth="1"/>
    <col min="12295" max="12295" width="12" customWidth="1"/>
    <col min="12296" max="12296" width="25.88671875" customWidth="1"/>
    <col min="12297" max="12297" width="15.33203125" bestFit="1" customWidth="1"/>
    <col min="12298" max="12298" width="11" customWidth="1"/>
    <col min="12299" max="12299" width="11.109375" customWidth="1"/>
    <col min="12300" max="12300" width="16.44140625" bestFit="1" customWidth="1"/>
    <col min="12301" max="12301" width="16.88671875" customWidth="1"/>
    <col min="12302" max="12302" width="14.5546875" customWidth="1"/>
    <col min="12304" max="12304" width="57.21875" bestFit="1" customWidth="1"/>
    <col min="12305" max="12305" width="17.88671875" customWidth="1"/>
    <col min="12306" max="12306" width="16.5546875" bestFit="1" customWidth="1"/>
    <col min="12307" max="12307" width="14.33203125" bestFit="1" customWidth="1"/>
    <col min="12308" max="12308" width="14.77734375" bestFit="1" customWidth="1"/>
    <col min="12545" max="12545" width="10.109375" bestFit="1" customWidth="1"/>
    <col min="12546" max="12546" width="21" bestFit="1" customWidth="1"/>
    <col min="12547" max="12547" width="7" bestFit="1" customWidth="1"/>
    <col min="12548" max="12548" width="16" bestFit="1" customWidth="1"/>
    <col min="12549" max="12549" width="19" bestFit="1" customWidth="1"/>
    <col min="12550" max="12550" width="22.5546875" bestFit="1" customWidth="1"/>
    <col min="12551" max="12551" width="12" customWidth="1"/>
    <col min="12552" max="12552" width="25.88671875" customWidth="1"/>
    <col min="12553" max="12553" width="15.33203125" bestFit="1" customWidth="1"/>
    <col min="12554" max="12554" width="11" customWidth="1"/>
    <col min="12555" max="12555" width="11.109375" customWidth="1"/>
    <col min="12556" max="12556" width="16.44140625" bestFit="1" customWidth="1"/>
    <col min="12557" max="12557" width="16.88671875" customWidth="1"/>
    <col min="12558" max="12558" width="14.5546875" customWidth="1"/>
    <col min="12560" max="12560" width="57.21875" bestFit="1" customWidth="1"/>
    <col min="12561" max="12561" width="17.88671875" customWidth="1"/>
    <col min="12562" max="12562" width="16.5546875" bestFit="1" customWidth="1"/>
    <col min="12563" max="12563" width="14.33203125" bestFit="1" customWidth="1"/>
    <col min="12564" max="12564" width="14.77734375" bestFit="1" customWidth="1"/>
    <col min="12801" max="12801" width="10.109375" bestFit="1" customWidth="1"/>
    <col min="12802" max="12802" width="21" bestFit="1" customWidth="1"/>
    <col min="12803" max="12803" width="7" bestFit="1" customWidth="1"/>
    <col min="12804" max="12804" width="16" bestFit="1" customWidth="1"/>
    <col min="12805" max="12805" width="19" bestFit="1" customWidth="1"/>
    <col min="12806" max="12806" width="22.5546875" bestFit="1" customWidth="1"/>
    <col min="12807" max="12807" width="12" customWidth="1"/>
    <col min="12808" max="12808" width="25.88671875" customWidth="1"/>
    <col min="12809" max="12809" width="15.33203125" bestFit="1" customWidth="1"/>
    <col min="12810" max="12810" width="11" customWidth="1"/>
    <col min="12811" max="12811" width="11.109375" customWidth="1"/>
    <col min="12812" max="12812" width="16.44140625" bestFit="1" customWidth="1"/>
    <col min="12813" max="12813" width="16.88671875" customWidth="1"/>
    <col min="12814" max="12814" width="14.5546875" customWidth="1"/>
    <col min="12816" max="12816" width="57.21875" bestFit="1" customWidth="1"/>
    <col min="12817" max="12817" width="17.88671875" customWidth="1"/>
    <col min="12818" max="12818" width="16.5546875" bestFit="1" customWidth="1"/>
    <col min="12819" max="12819" width="14.33203125" bestFit="1" customWidth="1"/>
    <col min="12820" max="12820" width="14.77734375" bestFit="1" customWidth="1"/>
    <col min="13057" max="13057" width="10.109375" bestFit="1" customWidth="1"/>
    <col min="13058" max="13058" width="21" bestFit="1" customWidth="1"/>
    <col min="13059" max="13059" width="7" bestFit="1" customWidth="1"/>
    <col min="13060" max="13060" width="16" bestFit="1" customWidth="1"/>
    <col min="13061" max="13061" width="19" bestFit="1" customWidth="1"/>
    <col min="13062" max="13062" width="22.5546875" bestFit="1" customWidth="1"/>
    <col min="13063" max="13063" width="12" customWidth="1"/>
    <col min="13064" max="13064" width="25.88671875" customWidth="1"/>
    <col min="13065" max="13065" width="15.33203125" bestFit="1" customWidth="1"/>
    <col min="13066" max="13066" width="11" customWidth="1"/>
    <col min="13067" max="13067" width="11.109375" customWidth="1"/>
    <col min="13068" max="13068" width="16.44140625" bestFit="1" customWidth="1"/>
    <col min="13069" max="13069" width="16.88671875" customWidth="1"/>
    <col min="13070" max="13070" width="14.5546875" customWidth="1"/>
    <col min="13072" max="13072" width="57.21875" bestFit="1" customWidth="1"/>
    <col min="13073" max="13073" width="17.88671875" customWidth="1"/>
    <col min="13074" max="13074" width="16.5546875" bestFit="1" customWidth="1"/>
    <col min="13075" max="13075" width="14.33203125" bestFit="1" customWidth="1"/>
    <col min="13076" max="13076" width="14.77734375" bestFit="1" customWidth="1"/>
    <col min="13313" max="13313" width="10.109375" bestFit="1" customWidth="1"/>
    <col min="13314" max="13314" width="21" bestFit="1" customWidth="1"/>
    <col min="13315" max="13315" width="7" bestFit="1" customWidth="1"/>
    <col min="13316" max="13316" width="16" bestFit="1" customWidth="1"/>
    <col min="13317" max="13317" width="19" bestFit="1" customWidth="1"/>
    <col min="13318" max="13318" width="22.5546875" bestFit="1" customWidth="1"/>
    <col min="13319" max="13319" width="12" customWidth="1"/>
    <col min="13320" max="13320" width="25.88671875" customWidth="1"/>
    <col min="13321" max="13321" width="15.33203125" bestFit="1" customWidth="1"/>
    <col min="13322" max="13322" width="11" customWidth="1"/>
    <col min="13323" max="13323" width="11.109375" customWidth="1"/>
    <col min="13324" max="13324" width="16.44140625" bestFit="1" customWidth="1"/>
    <col min="13325" max="13325" width="16.88671875" customWidth="1"/>
    <col min="13326" max="13326" width="14.5546875" customWidth="1"/>
    <col min="13328" max="13328" width="57.21875" bestFit="1" customWidth="1"/>
    <col min="13329" max="13329" width="17.88671875" customWidth="1"/>
    <col min="13330" max="13330" width="16.5546875" bestFit="1" customWidth="1"/>
    <col min="13331" max="13331" width="14.33203125" bestFit="1" customWidth="1"/>
    <col min="13332" max="13332" width="14.77734375" bestFit="1" customWidth="1"/>
    <col min="13569" max="13569" width="10.109375" bestFit="1" customWidth="1"/>
    <col min="13570" max="13570" width="21" bestFit="1" customWidth="1"/>
    <col min="13571" max="13571" width="7" bestFit="1" customWidth="1"/>
    <col min="13572" max="13572" width="16" bestFit="1" customWidth="1"/>
    <col min="13573" max="13573" width="19" bestFit="1" customWidth="1"/>
    <col min="13574" max="13574" width="22.5546875" bestFit="1" customWidth="1"/>
    <col min="13575" max="13575" width="12" customWidth="1"/>
    <col min="13576" max="13576" width="25.88671875" customWidth="1"/>
    <col min="13577" max="13577" width="15.33203125" bestFit="1" customWidth="1"/>
    <col min="13578" max="13578" width="11" customWidth="1"/>
    <col min="13579" max="13579" width="11.109375" customWidth="1"/>
    <col min="13580" max="13580" width="16.44140625" bestFit="1" customWidth="1"/>
    <col min="13581" max="13581" width="16.88671875" customWidth="1"/>
    <col min="13582" max="13582" width="14.5546875" customWidth="1"/>
    <col min="13584" max="13584" width="57.21875" bestFit="1" customWidth="1"/>
    <col min="13585" max="13585" width="17.88671875" customWidth="1"/>
    <col min="13586" max="13586" width="16.5546875" bestFit="1" customWidth="1"/>
    <col min="13587" max="13587" width="14.33203125" bestFit="1" customWidth="1"/>
    <col min="13588" max="13588" width="14.77734375" bestFit="1" customWidth="1"/>
    <col min="13825" max="13825" width="10.109375" bestFit="1" customWidth="1"/>
    <col min="13826" max="13826" width="21" bestFit="1" customWidth="1"/>
    <col min="13827" max="13827" width="7" bestFit="1" customWidth="1"/>
    <col min="13828" max="13828" width="16" bestFit="1" customWidth="1"/>
    <col min="13829" max="13829" width="19" bestFit="1" customWidth="1"/>
    <col min="13830" max="13830" width="22.5546875" bestFit="1" customWidth="1"/>
    <col min="13831" max="13831" width="12" customWidth="1"/>
    <col min="13832" max="13832" width="25.88671875" customWidth="1"/>
    <col min="13833" max="13833" width="15.33203125" bestFit="1" customWidth="1"/>
    <col min="13834" max="13834" width="11" customWidth="1"/>
    <col min="13835" max="13835" width="11.109375" customWidth="1"/>
    <col min="13836" max="13836" width="16.44140625" bestFit="1" customWidth="1"/>
    <col min="13837" max="13837" width="16.88671875" customWidth="1"/>
    <col min="13838" max="13838" width="14.5546875" customWidth="1"/>
    <col min="13840" max="13840" width="57.21875" bestFit="1" customWidth="1"/>
    <col min="13841" max="13841" width="17.88671875" customWidth="1"/>
    <col min="13842" max="13842" width="16.5546875" bestFit="1" customWidth="1"/>
    <col min="13843" max="13843" width="14.33203125" bestFit="1" customWidth="1"/>
    <col min="13844" max="13844" width="14.77734375" bestFit="1" customWidth="1"/>
    <col min="14081" max="14081" width="10.109375" bestFit="1" customWidth="1"/>
    <col min="14082" max="14082" width="21" bestFit="1" customWidth="1"/>
    <col min="14083" max="14083" width="7" bestFit="1" customWidth="1"/>
    <col min="14084" max="14084" width="16" bestFit="1" customWidth="1"/>
    <col min="14085" max="14085" width="19" bestFit="1" customWidth="1"/>
    <col min="14086" max="14086" width="22.5546875" bestFit="1" customWidth="1"/>
    <col min="14087" max="14087" width="12" customWidth="1"/>
    <col min="14088" max="14088" width="25.88671875" customWidth="1"/>
    <col min="14089" max="14089" width="15.33203125" bestFit="1" customWidth="1"/>
    <col min="14090" max="14090" width="11" customWidth="1"/>
    <col min="14091" max="14091" width="11.109375" customWidth="1"/>
    <col min="14092" max="14092" width="16.44140625" bestFit="1" customWidth="1"/>
    <col min="14093" max="14093" width="16.88671875" customWidth="1"/>
    <col min="14094" max="14094" width="14.5546875" customWidth="1"/>
    <col min="14096" max="14096" width="57.21875" bestFit="1" customWidth="1"/>
    <col min="14097" max="14097" width="17.88671875" customWidth="1"/>
    <col min="14098" max="14098" width="16.5546875" bestFit="1" customWidth="1"/>
    <col min="14099" max="14099" width="14.33203125" bestFit="1" customWidth="1"/>
    <col min="14100" max="14100" width="14.77734375" bestFit="1" customWidth="1"/>
    <col min="14337" max="14337" width="10.109375" bestFit="1" customWidth="1"/>
    <col min="14338" max="14338" width="21" bestFit="1" customWidth="1"/>
    <col min="14339" max="14339" width="7" bestFit="1" customWidth="1"/>
    <col min="14340" max="14340" width="16" bestFit="1" customWidth="1"/>
    <col min="14341" max="14341" width="19" bestFit="1" customWidth="1"/>
    <col min="14342" max="14342" width="22.5546875" bestFit="1" customWidth="1"/>
    <col min="14343" max="14343" width="12" customWidth="1"/>
    <col min="14344" max="14344" width="25.88671875" customWidth="1"/>
    <col min="14345" max="14345" width="15.33203125" bestFit="1" customWidth="1"/>
    <col min="14346" max="14346" width="11" customWidth="1"/>
    <col min="14347" max="14347" width="11.109375" customWidth="1"/>
    <col min="14348" max="14348" width="16.44140625" bestFit="1" customWidth="1"/>
    <col min="14349" max="14349" width="16.88671875" customWidth="1"/>
    <col min="14350" max="14350" width="14.5546875" customWidth="1"/>
    <col min="14352" max="14352" width="57.21875" bestFit="1" customWidth="1"/>
    <col min="14353" max="14353" width="17.88671875" customWidth="1"/>
    <col min="14354" max="14354" width="16.5546875" bestFit="1" customWidth="1"/>
    <col min="14355" max="14355" width="14.33203125" bestFit="1" customWidth="1"/>
    <col min="14356" max="14356" width="14.77734375" bestFit="1" customWidth="1"/>
    <col min="14593" max="14593" width="10.109375" bestFit="1" customWidth="1"/>
    <col min="14594" max="14594" width="21" bestFit="1" customWidth="1"/>
    <col min="14595" max="14595" width="7" bestFit="1" customWidth="1"/>
    <col min="14596" max="14596" width="16" bestFit="1" customWidth="1"/>
    <col min="14597" max="14597" width="19" bestFit="1" customWidth="1"/>
    <col min="14598" max="14598" width="22.5546875" bestFit="1" customWidth="1"/>
    <col min="14599" max="14599" width="12" customWidth="1"/>
    <col min="14600" max="14600" width="25.88671875" customWidth="1"/>
    <col min="14601" max="14601" width="15.33203125" bestFit="1" customWidth="1"/>
    <col min="14602" max="14602" width="11" customWidth="1"/>
    <col min="14603" max="14603" width="11.109375" customWidth="1"/>
    <col min="14604" max="14604" width="16.44140625" bestFit="1" customWidth="1"/>
    <col min="14605" max="14605" width="16.88671875" customWidth="1"/>
    <col min="14606" max="14606" width="14.5546875" customWidth="1"/>
    <col min="14608" max="14608" width="57.21875" bestFit="1" customWidth="1"/>
    <col min="14609" max="14609" width="17.88671875" customWidth="1"/>
    <col min="14610" max="14610" width="16.5546875" bestFit="1" customWidth="1"/>
    <col min="14611" max="14611" width="14.33203125" bestFit="1" customWidth="1"/>
    <col min="14612" max="14612" width="14.77734375" bestFit="1" customWidth="1"/>
    <col min="14849" max="14849" width="10.109375" bestFit="1" customWidth="1"/>
    <col min="14850" max="14850" width="21" bestFit="1" customWidth="1"/>
    <col min="14851" max="14851" width="7" bestFit="1" customWidth="1"/>
    <col min="14852" max="14852" width="16" bestFit="1" customWidth="1"/>
    <col min="14853" max="14853" width="19" bestFit="1" customWidth="1"/>
    <col min="14854" max="14854" width="22.5546875" bestFit="1" customWidth="1"/>
    <col min="14855" max="14855" width="12" customWidth="1"/>
    <col min="14856" max="14856" width="25.88671875" customWidth="1"/>
    <col min="14857" max="14857" width="15.33203125" bestFit="1" customWidth="1"/>
    <col min="14858" max="14858" width="11" customWidth="1"/>
    <col min="14859" max="14859" width="11.109375" customWidth="1"/>
    <col min="14860" max="14860" width="16.44140625" bestFit="1" customWidth="1"/>
    <col min="14861" max="14861" width="16.88671875" customWidth="1"/>
    <col min="14862" max="14862" width="14.5546875" customWidth="1"/>
    <col min="14864" max="14864" width="57.21875" bestFit="1" customWidth="1"/>
    <col min="14865" max="14865" width="17.88671875" customWidth="1"/>
    <col min="14866" max="14866" width="16.5546875" bestFit="1" customWidth="1"/>
    <col min="14867" max="14867" width="14.33203125" bestFit="1" customWidth="1"/>
    <col min="14868" max="14868" width="14.77734375" bestFit="1" customWidth="1"/>
    <col min="15105" max="15105" width="10.109375" bestFit="1" customWidth="1"/>
    <col min="15106" max="15106" width="21" bestFit="1" customWidth="1"/>
    <col min="15107" max="15107" width="7" bestFit="1" customWidth="1"/>
    <col min="15108" max="15108" width="16" bestFit="1" customWidth="1"/>
    <col min="15109" max="15109" width="19" bestFit="1" customWidth="1"/>
    <col min="15110" max="15110" width="22.5546875" bestFit="1" customWidth="1"/>
    <col min="15111" max="15111" width="12" customWidth="1"/>
    <col min="15112" max="15112" width="25.88671875" customWidth="1"/>
    <col min="15113" max="15113" width="15.33203125" bestFit="1" customWidth="1"/>
    <col min="15114" max="15114" width="11" customWidth="1"/>
    <col min="15115" max="15115" width="11.109375" customWidth="1"/>
    <col min="15116" max="15116" width="16.44140625" bestFit="1" customWidth="1"/>
    <col min="15117" max="15117" width="16.88671875" customWidth="1"/>
    <col min="15118" max="15118" width="14.5546875" customWidth="1"/>
    <col min="15120" max="15120" width="57.21875" bestFit="1" customWidth="1"/>
    <col min="15121" max="15121" width="17.88671875" customWidth="1"/>
    <col min="15122" max="15122" width="16.5546875" bestFit="1" customWidth="1"/>
    <col min="15123" max="15123" width="14.33203125" bestFit="1" customWidth="1"/>
    <col min="15124" max="15124" width="14.77734375" bestFit="1" customWidth="1"/>
    <col min="15361" max="15361" width="10.109375" bestFit="1" customWidth="1"/>
    <col min="15362" max="15362" width="21" bestFit="1" customWidth="1"/>
    <col min="15363" max="15363" width="7" bestFit="1" customWidth="1"/>
    <col min="15364" max="15364" width="16" bestFit="1" customWidth="1"/>
    <col min="15365" max="15365" width="19" bestFit="1" customWidth="1"/>
    <col min="15366" max="15366" width="22.5546875" bestFit="1" customWidth="1"/>
    <col min="15367" max="15367" width="12" customWidth="1"/>
    <col min="15368" max="15368" width="25.88671875" customWidth="1"/>
    <col min="15369" max="15369" width="15.33203125" bestFit="1" customWidth="1"/>
    <col min="15370" max="15370" width="11" customWidth="1"/>
    <col min="15371" max="15371" width="11.109375" customWidth="1"/>
    <col min="15372" max="15372" width="16.44140625" bestFit="1" customWidth="1"/>
    <col min="15373" max="15373" width="16.88671875" customWidth="1"/>
    <col min="15374" max="15374" width="14.5546875" customWidth="1"/>
    <col min="15376" max="15376" width="57.21875" bestFit="1" customWidth="1"/>
    <col min="15377" max="15377" width="17.88671875" customWidth="1"/>
    <col min="15378" max="15378" width="16.5546875" bestFit="1" customWidth="1"/>
    <col min="15379" max="15379" width="14.33203125" bestFit="1" customWidth="1"/>
    <col min="15380" max="15380" width="14.77734375" bestFit="1" customWidth="1"/>
    <col min="15617" max="15617" width="10.109375" bestFit="1" customWidth="1"/>
    <col min="15618" max="15618" width="21" bestFit="1" customWidth="1"/>
    <col min="15619" max="15619" width="7" bestFit="1" customWidth="1"/>
    <col min="15620" max="15620" width="16" bestFit="1" customWidth="1"/>
    <col min="15621" max="15621" width="19" bestFit="1" customWidth="1"/>
    <col min="15622" max="15622" width="22.5546875" bestFit="1" customWidth="1"/>
    <col min="15623" max="15623" width="12" customWidth="1"/>
    <col min="15624" max="15624" width="25.88671875" customWidth="1"/>
    <col min="15625" max="15625" width="15.33203125" bestFit="1" customWidth="1"/>
    <col min="15626" max="15626" width="11" customWidth="1"/>
    <col min="15627" max="15627" width="11.109375" customWidth="1"/>
    <col min="15628" max="15628" width="16.44140625" bestFit="1" customWidth="1"/>
    <col min="15629" max="15629" width="16.88671875" customWidth="1"/>
    <col min="15630" max="15630" width="14.5546875" customWidth="1"/>
    <col min="15632" max="15632" width="57.21875" bestFit="1" customWidth="1"/>
    <col min="15633" max="15633" width="17.88671875" customWidth="1"/>
    <col min="15634" max="15634" width="16.5546875" bestFit="1" customWidth="1"/>
    <col min="15635" max="15635" width="14.33203125" bestFit="1" customWidth="1"/>
    <col min="15636" max="15636" width="14.77734375" bestFit="1" customWidth="1"/>
    <col min="15873" max="15873" width="10.109375" bestFit="1" customWidth="1"/>
    <col min="15874" max="15874" width="21" bestFit="1" customWidth="1"/>
    <col min="15875" max="15875" width="7" bestFit="1" customWidth="1"/>
    <col min="15876" max="15876" width="16" bestFit="1" customWidth="1"/>
    <col min="15877" max="15877" width="19" bestFit="1" customWidth="1"/>
    <col min="15878" max="15878" width="22.5546875" bestFit="1" customWidth="1"/>
    <col min="15879" max="15879" width="12" customWidth="1"/>
    <col min="15880" max="15880" width="25.88671875" customWidth="1"/>
    <col min="15881" max="15881" width="15.33203125" bestFit="1" customWidth="1"/>
    <col min="15882" max="15882" width="11" customWidth="1"/>
    <col min="15883" max="15883" width="11.109375" customWidth="1"/>
    <col min="15884" max="15884" width="16.44140625" bestFit="1" customWidth="1"/>
    <col min="15885" max="15885" width="16.88671875" customWidth="1"/>
    <col min="15886" max="15886" width="14.5546875" customWidth="1"/>
    <col min="15888" max="15888" width="57.21875" bestFit="1" customWidth="1"/>
    <col min="15889" max="15889" width="17.88671875" customWidth="1"/>
    <col min="15890" max="15890" width="16.5546875" bestFit="1" customWidth="1"/>
    <col min="15891" max="15891" width="14.33203125" bestFit="1" customWidth="1"/>
    <col min="15892" max="15892" width="14.77734375" bestFit="1" customWidth="1"/>
    <col min="16129" max="16129" width="10.109375" bestFit="1" customWidth="1"/>
    <col min="16130" max="16130" width="21" bestFit="1" customWidth="1"/>
    <col min="16131" max="16131" width="7" bestFit="1" customWidth="1"/>
    <col min="16132" max="16132" width="16" bestFit="1" customWidth="1"/>
    <col min="16133" max="16133" width="19" bestFit="1" customWidth="1"/>
    <col min="16134" max="16134" width="22.5546875" bestFit="1" customWidth="1"/>
    <col min="16135" max="16135" width="12" customWidth="1"/>
    <col min="16136" max="16136" width="25.88671875" customWidth="1"/>
    <col min="16137" max="16137" width="15.33203125" bestFit="1" customWidth="1"/>
    <col min="16138" max="16138" width="11" customWidth="1"/>
    <col min="16139" max="16139" width="11.109375" customWidth="1"/>
    <col min="16140" max="16140" width="16.44140625" bestFit="1" customWidth="1"/>
    <col min="16141" max="16141" width="16.88671875" customWidth="1"/>
    <col min="16142" max="16142" width="14.5546875" customWidth="1"/>
    <col min="16144" max="16144" width="57.21875" bestFit="1" customWidth="1"/>
    <col min="16145" max="16145" width="17.88671875" customWidth="1"/>
    <col min="16146" max="16146" width="16.5546875" bestFit="1" customWidth="1"/>
    <col min="16147" max="16147" width="14.33203125" bestFit="1" customWidth="1"/>
    <col min="16148" max="16148" width="14.77734375" bestFit="1" customWidth="1"/>
  </cols>
  <sheetData>
    <row r="1" spans="1:8" x14ac:dyDescent="0.3">
      <c r="A1" s="193" t="s">
        <v>861</v>
      </c>
    </row>
    <row r="2" spans="1:8" ht="15" thickBot="1" x14ac:dyDescent="0.35"/>
    <row r="3" spans="1:8" ht="21" thickBot="1" x14ac:dyDescent="0.35">
      <c r="A3" s="184" t="s">
        <v>777</v>
      </c>
      <c r="B3" s="185" t="s">
        <v>778</v>
      </c>
      <c r="C3" s="185" t="s">
        <v>779</v>
      </c>
      <c r="D3" s="185" t="s">
        <v>780</v>
      </c>
      <c r="E3" s="185" t="s">
        <v>781</v>
      </c>
      <c r="F3" s="185" t="s">
        <v>782</v>
      </c>
      <c r="G3" s="185" t="s">
        <v>783</v>
      </c>
      <c r="H3" s="185" t="s">
        <v>784</v>
      </c>
    </row>
    <row r="4" spans="1:8" ht="21" thickBot="1" x14ac:dyDescent="0.35">
      <c r="A4" s="187" t="s">
        <v>862</v>
      </c>
      <c r="B4" s="189" t="s">
        <v>863</v>
      </c>
      <c r="C4" s="189" t="s">
        <v>217</v>
      </c>
      <c r="D4" s="190" t="s">
        <v>864</v>
      </c>
      <c r="E4" s="189" t="s">
        <v>74</v>
      </c>
      <c r="F4" s="189" t="s">
        <v>865</v>
      </c>
      <c r="G4" s="195">
        <v>64.38</v>
      </c>
      <c r="H4" s="190" t="s">
        <v>866</v>
      </c>
    </row>
    <row r="5" spans="1:8" ht="31.2" thickBot="1" x14ac:dyDescent="0.35">
      <c r="A5" s="187" t="s">
        <v>867</v>
      </c>
      <c r="B5" s="189" t="s">
        <v>868</v>
      </c>
      <c r="C5" s="189" t="s">
        <v>217</v>
      </c>
      <c r="D5" s="190" t="s">
        <v>869</v>
      </c>
      <c r="E5" s="189" t="s">
        <v>74</v>
      </c>
      <c r="F5" s="189" t="s">
        <v>793</v>
      </c>
      <c r="G5" s="195">
        <v>82</v>
      </c>
      <c r="H5" s="190" t="s">
        <v>866</v>
      </c>
    </row>
    <row r="6" spans="1:8" ht="21" thickBot="1" x14ac:dyDescent="0.35">
      <c r="A6" s="187" t="s">
        <v>870</v>
      </c>
      <c r="B6" s="190" t="s">
        <v>871</v>
      </c>
      <c r="C6" s="190" t="s">
        <v>224</v>
      </c>
      <c r="D6" s="189" t="s">
        <v>302</v>
      </c>
      <c r="E6" s="190" t="s">
        <v>872</v>
      </c>
      <c r="F6" s="190" t="s">
        <v>849</v>
      </c>
      <c r="G6" s="191">
        <v>11.72</v>
      </c>
      <c r="H6" s="190" t="s">
        <v>822</v>
      </c>
    </row>
    <row r="7" spans="1:8" ht="21" thickBot="1" x14ac:dyDescent="0.35">
      <c r="A7" s="187" t="s">
        <v>873</v>
      </c>
      <c r="B7" s="189" t="s">
        <v>874</v>
      </c>
      <c r="C7" s="189" t="s">
        <v>224</v>
      </c>
      <c r="D7" s="189" t="s">
        <v>302</v>
      </c>
      <c r="E7" s="189" t="s">
        <v>74</v>
      </c>
      <c r="F7" s="189" t="s">
        <v>793</v>
      </c>
      <c r="G7" s="195">
        <v>27.78</v>
      </c>
      <c r="H7" s="190" t="s">
        <v>866</v>
      </c>
    </row>
    <row r="8" spans="1:8" ht="41.4" thickBot="1" x14ac:dyDescent="0.35">
      <c r="A8" s="187" t="s">
        <v>875</v>
      </c>
      <c r="B8" s="190" t="s">
        <v>876</v>
      </c>
      <c r="C8" s="190" t="s">
        <v>227</v>
      </c>
      <c r="D8" s="189" t="s">
        <v>302</v>
      </c>
      <c r="E8" s="189" t="s">
        <v>74</v>
      </c>
      <c r="F8" s="190" t="s">
        <v>801</v>
      </c>
      <c r="G8" s="191">
        <v>1.4</v>
      </c>
      <c r="H8" s="190" t="s">
        <v>822</v>
      </c>
    </row>
    <row r="9" spans="1:8" ht="15" thickBot="1" x14ac:dyDescent="0.35">
      <c r="A9" s="187" t="s">
        <v>877</v>
      </c>
      <c r="B9" s="190" t="s">
        <v>878</v>
      </c>
      <c r="C9" s="190" t="s">
        <v>235</v>
      </c>
      <c r="D9" s="190" t="s">
        <v>879</v>
      </c>
      <c r="E9" s="190" t="s">
        <v>814</v>
      </c>
      <c r="F9" s="190" t="s">
        <v>789</v>
      </c>
      <c r="G9" s="191" t="s">
        <v>302</v>
      </c>
      <c r="H9" s="190" t="s">
        <v>880</v>
      </c>
    </row>
    <row r="10" spans="1:8" ht="15" thickBot="1" x14ac:dyDescent="0.35">
      <c r="A10" s="187" t="s">
        <v>881</v>
      </c>
      <c r="B10" s="190" t="s">
        <v>882</v>
      </c>
      <c r="C10" s="190" t="s">
        <v>235</v>
      </c>
      <c r="D10" s="190" t="s">
        <v>818</v>
      </c>
      <c r="E10" s="190" t="s">
        <v>814</v>
      </c>
      <c r="F10" s="190" t="s">
        <v>789</v>
      </c>
      <c r="G10" s="191" t="s">
        <v>302</v>
      </c>
      <c r="H10" s="190" t="s">
        <v>880</v>
      </c>
    </row>
    <row r="11" spans="1:8" ht="15" thickBot="1" x14ac:dyDescent="0.35">
      <c r="A11" s="187" t="s">
        <v>883</v>
      </c>
      <c r="B11" s="190" t="s">
        <v>884</v>
      </c>
      <c r="C11" s="190" t="s">
        <v>235</v>
      </c>
      <c r="D11" s="190" t="s">
        <v>885</v>
      </c>
      <c r="E11" s="190" t="s">
        <v>814</v>
      </c>
      <c r="F11" s="190" t="s">
        <v>789</v>
      </c>
      <c r="G11" s="191" t="s">
        <v>302</v>
      </c>
      <c r="H11" s="190" t="s">
        <v>880</v>
      </c>
    </row>
    <row r="12" spans="1:8" ht="31.2" thickBot="1" x14ac:dyDescent="0.35">
      <c r="A12" s="187" t="s">
        <v>886</v>
      </c>
      <c r="B12" s="190" t="s">
        <v>887</v>
      </c>
      <c r="C12" s="190" t="s">
        <v>236</v>
      </c>
      <c r="D12" s="190" t="s">
        <v>888</v>
      </c>
      <c r="E12" s="190" t="s">
        <v>74</v>
      </c>
      <c r="F12" s="190" t="s">
        <v>797</v>
      </c>
      <c r="G12" s="191">
        <v>14.17</v>
      </c>
      <c r="H12" s="190" t="s">
        <v>822</v>
      </c>
    </row>
    <row r="13" spans="1:8" ht="21" thickBot="1" x14ac:dyDescent="0.35">
      <c r="A13" s="187" t="s">
        <v>889</v>
      </c>
      <c r="B13" s="189" t="s">
        <v>890</v>
      </c>
      <c r="C13" s="189" t="s">
        <v>240</v>
      </c>
      <c r="D13" s="190" t="s">
        <v>302</v>
      </c>
      <c r="E13" s="189" t="s">
        <v>74</v>
      </c>
      <c r="F13" s="189" t="s">
        <v>793</v>
      </c>
      <c r="G13" s="195">
        <v>6.01</v>
      </c>
      <c r="H13" s="190" t="s">
        <v>866</v>
      </c>
    </row>
    <row r="14" spans="1:8" ht="31.2" thickBot="1" x14ac:dyDescent="0.35">
      <c r="A14" s="187" t="s">
        <v>891</v>
      </c>
      <c r="B14" s="190" t="s">
        <v>892</v>
      </c>
      <c r="C14" s="190" t="s">
        <v>242</v>
      </c>
      <c r="D14" s="190" t="s">
        <v>302</v>
      </c>
      <c r="E14" s="189" t="s">
        <v>74</v>
      </c>
      <c r="F14" s="190" t="s">
        <v>865</v>
      </c>
      <c r="G14" s="191">
        <v>0.67</v>
      </c>
      <c r="H14" s="190" t="s">
        <v>822</v>
      </c>
    </row>
    <row r="15" spans="1:8" ht="21" thickBot="1" x14ac:dyDescent="0.35">
      <c r="A15" s="187" t="s">
        <v>893</v>
      </c>
      <c r="B15" s="189" t="s">
        <v>894</v>
      </c>
      <c r="C15" s="190" t="s">
        <v>247</v>
      </c>
      <c r="D15" s="190" t="s">
        <v>302</v>
      </c>
      <c r="E15" s="189" t="s">
        <v>74</v>
      </c>
      <c r="F15" s="189" t="s">
        <v>793</v>
      </c>
      <c r="G15" s="195">
        <v>64.569999999999993</v>
      </c>
      <c r="H15" s="190" t="s">
        <v>866</v>
      </c>
    </row>
    <row r="16" spans="1:8" ht="41.4" thickBot="1" x14ac:dyDescent="0.35">
      <c r="A16" s="187" t="s">
        <v>895</v>
      </c>
      <c r="B16" s="190" t="s">
        <v>896</v>
      </c>
      <c r="C16" s="189" t="s">
        <v>836</v>
      </c>
      <c r="D16" s="190" t="s">
        <v>302</v>
      </c>
      <c r="E16" s="190" t="s">
        <v>897</v>
      </c>
      <c r="F16" s="190" t="s">
        <v>898</v>
      </c>
      <c r="G16" s="191" t="s">
        <v>302</v>
      </c>
      <c r="H16" s="190" t="s">
        <v>832</v>
      </c>
    </row>
    <row r="17" spans="1:20" ht="15" thickBot="1" x14ac:dyDescent="0.35">
      <c r="A17" s="187" t="s">
        <v>899</v>
      </c>
      <c r="B17" s="189" t="s">
        <v>900</v>
      </c>
      <c r="C17" s="189" t="s">
        <v>252</v>
      </c>
      <c r="D17" s="190" t="s">
        <v>302</v>
      </c>
      <c r="E17" s="189" t="s">
        <v>74</v>
      </c>
      <c r="F17" s="189" t="s">
        <v>793</v>
      </c>
      <c r="G17" s="195">
        <v>41.92</v>
      </c>
      <c r="H17" s="190" t="s">
        <v>866</v>
      </c>
    </row>
    <row r="18" spans="1:20" ht="21" thickBot="1" x14ac:dyDescent="0.35">
      <c r="A18" s="187" t="s">
        <v>901</v>
      </c>
      <c r="B18" s="189" t="s">
        <v>902</v>
      </c>
      <c r="C18" s="190" t="s">
        <v>253</v>
      </c>
      <c r="D18" s="190" t="s">
        <v>302</v>
      </c>
      <c r="E18" s="189" t="s">
        <v>74</v>
      </c>
      <c r="F18" s="189" t="s">
        <v>793</v>
      </c>
      <c r="G18" s="195">
        <v>76.95</v>
      </c>
      <c r="H18" s="190" t="s">
        <v>866</v>
      </c>
    </row>
    <row r="19" spans="1:20" ht="15" thickBot="1" x14ac:dyDescent="0.35">
      <c r="A19" s="192" t="s">
        <v>333</v>
      </c>
      <c r="B19" s="175"/>
      <c r="C19" s="175"/>
      <c r="D19" s="176"/>
      <c r="E19" s="175"/>
      <c r="F19" s="175"/>
      <c r="G19" s="195">
        <f>SUM(G4:G18)</f>
        <v>391.56999999999994</v>
      </c>
      <c r="H19" s="175"/>
    </row>
    <row r="21" spans="1:20" x14ac:dyDescent="0.3">
      <c r="A21" s="194" t="s">
        <v>856</v>
      </c>
      <c r="D21"/>
      <c r="J21"/>
      <c r="K21" s="109"/>
    </row>
    <row r="23" spans="1:20" ht="24" x14ac:dyDescent="0.3">
      <c r="A23" s="196" t="s">
        <v>198</v>
      </c>
      <c r="B23" s="196" t="s">
        <v>903</v>
      </c>
      <c r="C23" s="196" t="s">
        <v>200</v>
      </c>
      <c r="D23" s="197" t="s">
        <v>201</v>
      </c>
      <c r="E23" s="196" t="s">
        <v>202</v>
      </c>
      <c r="F23" s="196" t="s">
        <v>203</v>
      </c>
      <c r="G23" s="196" t="s">
        <v>204</v>
      </c>
      <c r="H23" s="196" t="s">
        <v>205</v>
      </c>
      <c r="I23" s="196" t="s">
        <v>206</v>
      </c>
      <c r="J23" s="197" t="s">
        <v>207</v>
      </c>
      <c r="K23" s="197" t="s">
        <v>208</v>
      </c>
      <c r="L23" s="196" t="s">
        <v>209</v>
      </c>
      <c r="M23" s="196" t="s">
        <v>210</v>
      </c>
      <c r="N23" s="196" t="s">
        <v>211</v>
      </c>
    </row>
    <row r="24" spans="1:20" x14ac:dyDescent="0.3">
      <c r="A24" s="116">
        <v>3106200</v>
      </c>
      <c r="B24" s="116" t="s">
        <v>217</v>
      </c>
      <c r="C24" s="116" t="s">
        <v>212</v>
      </c>
      <c r="D24" s="198">
        <v>2375151</v>
      </c>
      <c r="E24" s="199">
        <v>0.77439999999999998</v>
      </c>
      <c r="F24" s="199">
        <f t="shared" ref="F24:F34" si="0">G24-E24</f>
        <v>0</v>
      </c>
      <c r="G24" s="199">
        <v>0.77439999999999998</v>
      </c>
      <c r="H24" s="199">
        <f t="shared" ref="H24:H33" si="1">1-G24-I24</f>
        <v>0.22060000000000002</v>
      </c>
      <c r="I24" s="199">
        <v>5.0000000000000001E-3</v>
      </c>
      <c r="J24" s="200">
        <f t="shared" ref="J24:J34" si="2">IF(G24&lt;0.9,0.9-G24,0)*D24</f>
        <v>298318.96560000011</v>
      </c>
      <c r="K24" s="200">
        <f t="shared" ref="K24:K34" si="3">IF(E24&lt;0.9,0.9-E24,0)*D24</f>
        <v>298318.96560000011</v>
      </c>
      <c r="L24" s="201">
        <f t="shared" ref="L24:L34" si="4">J24*$S$25</f>
        <v>615258417.77590811</v>
      </c>
      <c r="M24" s="202">
        <f t="shared" ref="M24:M34" si="5">K24*$S$26</f>
        <v>47022219.67678123</v>
      </c>
      <c r="N24" s="116" t="s">
        <v>218</v>
      </c>
      <c r="P24" s="80" t="s">
        <v>213</v>
      </c>
      <c r="Q24" s="80" t="s">
        <v>89</v>
      </c>
      <c r="R24" s="80" t="s">
        <v>214</v>
      </c>
      <c r="S24" s="80" t="s">
        <v>215</v>
      </c>
      <c r="T24" s="80" t="s">
        <v>216</v>
      </c>
    </row>
    <row r="25" spans="1:20" x14ac:dyDescent="0.3">
      <c r="A25" s="116">
        <v>3106705</v>
      </c>
      <c r="B25" s="116" t="s">
        <v>224</v>
      </c>
      <c r="C25" s="116" t="s">
        <v>212</v>
      </c>
      <c r="D25" s="198">
        <v>375331</v>
      </c>
      <c r="E25" s="199">
        <v>0.66459999999999997</v>
      </c>
      <c r="F25" s="199">
        <f t="shared" si="0"/>
        <v>0</v>
      </c>
      <c r="G25" s="199">
        <v>0.66459999999999997</v>
      </c>
      <c r="H25" s="199">
        <f t="shared" si="1"/>
        <v>0.31940000000000002</v>
      </c>
      <c r="I25" s="199">
        <v>1.6E-2</v>
      </c>
      <c r="J25" s="200">
        <f t="shared" si="2"/>
        <v>88352.91740000002</v>
      </c>
      <c r="K25" s="200">
        <f t="shared" si="3"/>
        <v>88352.91740000002</v>
      </c>
      <c r="L25" s="201">
        <f t="shared" si="4"/>
        <v>182220651.16134036</v>
      </c>
      <c r="M25" s="202">
        <f t="shared" si="5"/>
        <v>13926537.599483103</v>
      </c>
      <c r="N25" s="116" t="s">
        <v>218</v>
      </c>
      <c r="P25" s="81" t="s">
        <v>219</v>
      </c>
      <c r="Q25" s="82">
        <v>1818.08</v>
      </c>
      <c r="R25" s="81" t="s">
        <v>220</v>
      </c>
      <c r="S25" s="82">
        <v>2062.418044854966</v>
      </c>
      <c r="T25" s="83">
        <v>44378</v>
      </c>
    </row>
    <row r="26" spans="1:20" x14ac:dyDescent="0.3">
      <c r="A26" s="116">
        <v>3118601</v>
      </c>
      <c r="B26" s="116" t="s">
        <v>231</v>
      </c>
      <c r="C26" s="116" t="s">
        <v>212</v>
      </c>
      <c r="D26" s="198">
        <v>601400</v>
      </c>
      <c r="E26" s="199">
        <v>0.67069999999999996</v>
      </c>
      <c r="F26" s="199">
        <f t="shared" si="0"/>
        <v>6.5100000000000047E-2</v>
      </c>
      <c r="G26" s="199">
        <v>0.73580000000000001</v>
      </c>
      <c r="H26" s="199">
        <f t="shared" si="1"/>
        <v>0.22319999999999998</v>
      </c>
      <c r="I26" s="199">
        <v>4.1000000000000002E-2</v>
      </c>
      <c r="J26" s="200">
        <f t="shared" si="2"/>
        <v>98749.88</v>
      </c>
      <c r="K26" s="200">
        <f t="shared" si="3"/>
        <v>137901.02000000005</v>
      </c>
      <c r="L26" s="201">
        <f t="shared" si="4"/>
        <v>203663534.43926251</v>
      </c>
      <c r="M26" s="202">
        <f t="shared" si="5"/>
        <v>21736506.236035977</v>
      </c>
      <c r="N26" s="116" t="s">
        <v>218</v>
      </c>
      <c r="P26" s="81" t="s">
        <v>222</v>
      </c>
      <c r="Q26" s="82">
        <v>138.94999999999999</v>
      </c>
      <c r="R26" s="81" t="s">
        <v>223</v>
      </c>
      <c r="S26" s="82">
        <v>157.62396997524723</v>
      </c>
      <c r="T26" s="83">
        <v>44378</v>
      </c>
    </row>
    <row r="27" spans="1:20" x14ac:dyDescent="0.3">
      <c r="A27" s="116">
        <v>3124104</v>
      </c>
      <c r="B27" s="116" t="s">
        <v>232</v>
      </c>
      <c r="C27" s="116" t="s">
        <v>212</v>
      </c>
      <c r="D27" s="198">
        <v>56215</v>
      </c>
      <c r="E27" s="199">
        <v>0.16269999999999998</v>
      </c>
      <c r="F27" s="199">
        <f t="shared" si="0"/>
        <v>0</v>
      </c>
      <c r="G27" s="199">
        <v>0.16269999999999998</v>
      </c>
      <c r="H27" s="199">
        <f t="shared" si="1"/>
        <v>0.7873</v>
      </c>
      <c r="I27" s="199">
        <v>0.05</v>
      </c>
      <c r="J27" s="200">
        <f t="shared" si="2"/>
        <v>41447.319500000005</v>
      </c>
      <c r="K27" s="200">
        <f t="shared" si="3"/>
        <v>41447.319500000005</v>
      </c>
      <c r="L27" s="201">
        <f t="shared" si="4"/>
        <v>85481699.647669122</v>
      </c>
      <c r="M27" s="202">
        <f t="shared" si="5"/>
        <v>6533091.0444224803</v>
      </c>
      <c r="N27" s="116" t="s">
        <v>218</v>
      </c>
      <c r="P27" s="81" t="s">
        <v>225</v>
      </c>
      <c r="Q27" s="82">
        <v>651.32000000000005</v>
      </c>
      <c r="R27" s="81" t="s">
        <v>223</v>
      </c>
      <c r="S27" s="82">
        <v>738.85314231218467</v>
      </c>
      <c r="T27" s="83">
        <v>44378</v>
      </c>
    </row>
    <row r="28" spans="1:20" x14ac:dyDescent="0.3">
      <c r="A28" s="116">
        <v>3129806</v>
      </c>
      <c r="B28" s="116" t="s">
        <v>233</v>
      </c>
      <c r="C28" s="116" t="s">
        <v>212</v>
      </c>
      <c r="D28" s="198">
        <v>158590</v>
      </c>
      <c r="E28" s="199">
        <v>0.31420000000000003</v>
      </c>
      <c r="F28" s="199">
        <f t="shared" si="0"/>
        <v>0.33779999999999999</v>
      </c>
      <c r="G28" s="199">
        <v>0.65200000000000002</v>
      </c>
      <c r="H28" s="199">
        <f t="shared" si="1"/>
        <v>0.309</v>
      </c>
      <c r="I28" s="199">
        <v>3.9E-2</v>
      </c>
      <c r="J28" s="200">
        <f t="shared" si="2"/>
        <v>39330.32</v>
      </c>
      <c r="K28" s="200">
        <f t="shared" si="3"/>
        <v>92902.021999999997</v>
      </c>
      <c r="L28" s="201">
        <f t="shared" si="4"/>
        <v>81115561.677920163</v>
      </c>
      <c r="M28" s="202">
        <f t="shared" si="5"/>
        <v>14643585.526367757</v>
      </c>
      <c r="N28" s="116" t="s">
        <v>218</v>
      </c>
      <c r="P28" s="81" t="s">
        <v>226</v>
      </c>
      <c r="Q28" s="82">
        <v>399.48</v>
      </c>
      <c r="R28" s="81" t="s">
        <v>223</v>
      </c>
      <c r="S28" s="82">
        <v>453.16749568702249</v>
      </c>
      <c r="T28" s="83">
        <v>44378</v>
      </c>
    </row>
    <row r="29" spans="1:20" x14ac:dyDescent="0.3">
      <c r="A29" s="116">
        <v>3133808</v>
      </c>
      <c r="B29" s="116" t="s">
        <v>237</v>
      </c>
      <c r="C29" s="116" t="s">
        <v>221</v>
      </c>
      <c r="D29" s="198">
        <v>80451</v>
      </c>
      <c r="E29" s="199">
        <v>0</v>
      </c>
      <c r="F29" s="199">
        <f t="shared" si="0"/>
        <v>0.85</v>
      </c>
      <c r="G29" s="199">
        <v>0.85</v>
      </c>
      <c r="H29" s="199">
        <f t="shared" si="1"/>
        <v>0.14700000000000002</v>
      </c>
      <c r="I29" s="199">
        <v>3.0000000000000001E-3</v>
      </c>
      <c r="J29" s="200">
        <f t="shared" si="2"/>
        <v>4022.5500000000034</v>
      </c>
      <c r="K29" s="200">
        <f t="shared" si="3"/>
        <v>72405.900000000009</v>
      </c>
      <c r="L29" s="201">
        <f t="shared" si="4"/>
        <v>8296179.7063313499</v>
      </c>
      <c r="M29" s="202">
        <f t="shared" si="5"/>
        <v>11412905.407630755</v>
      </c>
      <c r="N29" s="116" t="s">
        <v>218</v>
      </c>
    </row>
    <row r="30" spans="1:20" x14ac:dyDescent="0.3">
      <c r="A30" s="116">
        <v>3144805</v>
      </c>
      <c r="B30" s="116" t="s">
        <v>242</v>
      </c>
      <c r="C30" s="116" t="s">
        <v>212</v>
      </c>
      <c r="D30" s="198">
        <v>79232</v>
      </c>
      <c r="E30" s="199">
        <v>0.17699999999999999</v>
      </c>
      <c r="F30" s="199">
        <f t="shared" si="0"/>
        <v>0</v>
      </c>
      <c r="G30" s="199">
        <v>0.17699999999999999</v>
      </c>
      <c r="H30" s="199">
        <f t="shared" si="1"/>
        <v>0.68099999999999994</v>
      </c>
      <c r="I30" s="199">
        <v>0.14199999999999999</v>
      </c>
      <c r="J30" s="200">
        <f t="shared" si="2"/>
        <v>57284.736000000004</v>
      </c>
      <c r="K30" s="200">
        <f t="shared" si="3"/>
        <v>57284.736000000004</v>
      </c>
      <c r="L30" s="201">
        <f t="shared" si="4"/>
        <v>118145073.22115289</v>
      </c>
      <c r="M30" s="202">
        <f t="shared" si="5"/>
        <v>9029447.5073039643</v>
      </c>
      <c r="N30" s="116" t="s">
        <v>218</v>
      </c>
    </row>
    <row r="31" spans="1:20" x14ac:dyDescent="0.3">
      <c r="A31" s="116">
        <v>3154606</v>
      </c>
      <c r="B31" s="116" t="s">
        <v>247</v>
      </c>
      <c r="C31" s="116" t="s">
        <v>212</v>
      </c>
      <c r="D31" s="198">
        <v>294153</v>
      </c>
      <c r="E31" s="199">
        <v>0.47139999999999999</v>
      </c>
      <c r="F31" s="199">
        <f t="shared" si="0"/>
        <v>0.1962000000000001</v>
      </c>
      <c r="G31" s="199">
        <v>0.66760000000000008</v>
      </c>
      <c r="H31" s="199">
        <f t="shared" si="1"/>
        <v>0.29839999999999989</v>
      </c>
      <c r="I31" s="199">
        <v>3.4000000000000002E-2</v>
      </c>
      <c r="J31" s="200">
        <f t="shared" si="2"/>
        <v>68361.157199999987</v>
      </c>
      <c r="K31" s="200">
        <f t="shared" si="3"/>
        <v>126073.97580000001</v>
      </c>
      <c r="L31" s="201">
        <f t="shared" si="4"/>
        <v>140989284.17644694</v>
      </c>
      <c r="M31" s="202">
        <f t="shared" si="5"/>
        <v>19872280.57615925</v>
      </c>
      <c r="N31" s="116" t="s">
        <v>218</v>
      </c>
      <c r="P31" s="84"/>
      <c r="Q31" s="85" t="s">
        <v>218</v>
      </c>
    </row>
    <row r="32" spans="1:20" x14ac:dyDescent="0.3">
      <c r="A32" s="116">
        <v>3156700</v>
      </c>
      <c r="B32" s="116" t="s">
        <v>249</v>
      </c>
      <c r="C32" s="116" t="s">
        <v>212</v>
      </c>
      <c r="D32" s="198">
        <v>123084</v>
      </c>
      <c r="E32" s="199">
        <v>0</v>
      </c>
      <c r="F32" s="199">
        <f t="shared" si="0"/>
        <v>0.63080000000000003</v>
      </c>
      <c r="G32" s="199">
        <v>0.63080000000000003</v>
      </c>
      <c r="H32" s="199">
        <f t="shared" si="1"/>
        <v>0.34619999999999995</v>
      </c>
      <c r="I32" s="199">
        <v>2.3E-2</v>
      </c>
      <c r="J32" s="200">
        <f t="shared" si="2"/>
        <v>33134.212800000001</v>
      </c>
      <c r="K32" s="200">
        <f t="shared" si="3"/>
        <v>110775.6</v>
      </c>
      <c r="L32" s="201">
        <f t="shared" si="4"/>
        <v>68336598.380784392</v>
      </c>
      <c r="M32" s="202">
        <f t="shared" si="5"/>
        <v>17460889.848389998</v>
      </c>
      <c r="N32" s="116" t="s">
        <v>218</v>
      </c>
      <c r="P32" s="85" t="s">
        <v>228</v>
      </c>
      <c r="Q32" s="86">
        <f>SUMIF($N$24:$N$34,Q$31,$L$24:$L$34)</f>
        <v>1592953256.9620152</v>
      </c>
    </row>
    <row r="33" spans="1:17" x14ac:dyDescent="0.3">
      <c r="A33" s="116">
        <v>3157807</v>
      </c>
      <c r="B33" s="116" t="s">
        <v>250</v>
      </c>
      <c r="C33" s="116" t="s">
        <v>212</v>
      </c>
      <c r="D33" s="198">
        <v>202378</v>
      </c>
      <c r="E33" s="199">
        <v>0.59609999999999996</v>
      </c>
      <c r="F33" s="199">
        <f t="shared" si="0"/>
        <v>8.9600000000000013E-2</v>
      </c>
      <c r="G33" s="199">
        <v>0.68569999999999998</v>
      </c>
      <c r="H33" s="199">
        <f t="shared" si="1"/>
        <v>0.2863</v>
      </c>
      <c r="I33" s="199">
        <v>2.8000000000000001E-2</v>
      </c>
      <c r="J33" s="200">
        <f t="shared" si="2"/>
        <v>43369.605400000008</v>
      </c>
      <c r="K33" s="200">
        <f t="shared" si="3"/>
        <v>61502.674200000009</v>
      </c>
      <c r="L33" s="201">
        <f t="shared" si="4"/>
        <v>89446256.775199383</v>
      </c>
      <c r="M33" s="202">
        <f t="shared" si="5"/>
        <v>9694295.6714982148</v>
      </c>
      <c r="N33" s="116" t="s">
        <v>218</v>
      </c>
      <c r="P33" s="85" t="s">
        <v>229</v>
      </c>
      <c r="Q33" s="86">
        <f>SUMIF($N$24:$N$34,Q$31,$M$24:$M$34)</f>
        <v>192901856.09359249</v>
      </c>
    </row>
    <row r="34" spans="1:17" x14ac:dyDescent="0.3">
      <c r="A34" s="116">
        <v>3167202</v>
      </c>
      <c r="B34" s="116" t="s">
        <v>253</v>
      </c>
      <c r="C34" s="116" t="s">
        <v>221</v>
      </c>
      <c r="D34" s="198">
        <v>208956</v>
      </c>
      <c r="E34" s="199">
        <v>0.24510000000000001</v>
      </c>
      <c r="F34" s="199">
        <f t="shared" si="0"/>
        <v>0.75490000000000002</v>
      </c>
      <c r="G34" s="199">
        <v>1</v>
      </c>
      <c r="H34" s="199">
        <f>1-G34-I34</f>
        <v>-6.0000000000000001E-3</v>
      </c>
      <c r="I34" s="199">
        <v>6.0000000000000001E-3</v>
      </c>
      <c r="J34" s="200">
        <f t="shared" si="2"/>
        <v>0</v>
      </c>
      <c r="K34" s="200">
        <f t="shared" si="3"/>
        <v>136845.2844</v>
      </c>
      <c r="L34" s="201">
        <f t="shared" si="4"/>
        <v>0</v>
      </c>
      <c r="M34" s="202">
        <f t="shared" si="5"/>
        <v>21570096.999519769</v>
      </c>
      <c r="N34" s="116" t="s">
        <v>218</v>
      </c>
      <c r="P34" s="85" t="s">
        <v>230</v>
      </c>
      <c r="Q34" s="87">
        <f>SUM(Q32:Q33)</f>
        <v>1785855113.0556076</v>
      </c>
    </row>
    <row r="36" spans="1:17" x14ac:dyDescent="0.3">
      <c r="P36" s="85" t="s">
        <v>698</v>
      </c>
      <c r="Q36" s="87">
        <f>SUM(Q32:Q33)*0.05</f>
        <v>89292755.652780384</v>
      </c>
    </row>
    <row r="38" spans="1:17" x14ac:dyDescent="0.3">
      <c r="P38" s="85" t="s">
        <v>697</v>
      </c>
      <c r="Q38" s="88">
        <f>351000000+Q34+Q36</f>
        <v>2226147868.7083879</v>
      </c>
    </row>
  </sheetData>
  <autoFilter ref="A23:N34" xr:uid="{D46F393B-3CEF-4B10-81E8-2B209ED97026}"/>
  <pageMargins left="0.511811024" right="0.511811024" top="0.78740157499999996" bottom="0.78740157499999996" header="0.31496062000000002" footer="0.3149606200000000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04E7E-96A2-4F96-A4A2-D3CCAD63510D}">
  <dimension ref="A1:N72"/>
  <sheetViews>
    <sheetView workbookViewId="0">
      <selection activeCell="I56" sqref="I54:I56"/>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254</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194</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18*40</f>
        <v>720</v>
      </c>
      <c r="D10" s="18">
        <v>118.66</v>
      </c>
      <c r="E10" s="19">
        <f>D10*C10</f>
        <v>85435.199999999997</v>
      </c>
      <c r="F10" s="6"/>
      <c r="G10" s="13" t="s">
        <v>98</v>
      </c>
      <c r="H10" s="11">
        <v>24.75</v>
      </c>
      <c r="I10" s="6"/>
      <c r="J10" s="6"/>
      <c r="K10" s="6"/>
      <c r="L10" s="6"/>
      <c r="M10" s="6"/>
      <c r="N10" s="6"/>
    </row>
    <row r="11" spans="1:14" ht="15" thickBot="1" x14ac:dyDescent="0.35">
      <c r="A11" s="6"/>
      <c r="B11" s="15" t="s">
        <v>99</v>
      </c>
      <c r="C11" s="18">
        <f>18*80</f>
        <v>1440</v>
      </c>
      <c r="D11" s="20">
        <v>83.05</v>
      </c>
      <c r="E11" s="19">
        <f>D11*C11</f>
        <v>119592</v>
      </c>
      <c r="F11" s="6"/>
      <c r="G11" s="6"/>
      <c r="H11" s="21"/>
      <c r="I11" s="6"/>
      <c r="J11" s="6"/>
      <c r="K11" s="6"/>
      <c r="L11" s="6"/>
      <c r="M11" s="6"/>
      <c r="N11" s="6"/>
    </row>
    <row r="12" spans="1:14" ht="15" thickBot="1" x14ac:dyDescent="0.35">
      <c r="A12" s="6"/>
      <c r="B12" s="13" t="s">
        <v>100</v>
      </c>
      <c r="C12" s="18">
        <f>18*80</f>
        <v>1440</v>
      </c>
      <c r="D12" s="20">
        <v>69.42</v>
      </c>
      <c r="E12" s="19">
        <f>D12*C12</f>
        <v>99964.800000000003</v>
      </c>
      <c r="F12" s="6"/>
      <c r="G12" s="6"/>
      <c r="H12" s="6"/>
      <c r="I12" s="6"/>
      <c r="J12" s="6"/>
      <c r="K12" s="6"/>
      <c r="L12" s="6"/>
      <c r="M12" s="6"/>
      <c r="N12" s="6"/>
    </row>
    <row r="13" spans="1:14" ht="15" thickBot="1" x14ac:dyDescent="0.35">
      <c r="A13" s="6"/>
      <c r="B13" s="15" t="s">
        <v>101</v>
      </c>
      <c r="C13" s="18">
        <f>18*160</f>
        <v>2880</v>
      </c>
      <c r="D13" s="20">
        <v>40.56</v>
      </c>
      <c r="E13" s="19">
        <f>D13*C13</f>
        <v>116812.8</v>
      </c>
      <c r="F13" s="6"/>
      <c r="G13" s="227" t="s">
        <v>102</v>
      </c>
      <c r="H13" s="228"/>
      <c r="I13" s="229"/>
      <c r="J13" s="11" t="s">
        <v>103</v>
      </c>
      <c r="K13" s="6"/>
      <c r="L13" s="6"/>
      <c r="M13" s="6"/>
      <c r="N13" s="6"/>
    </row>
    <row r="14" spans="1:14" ht="15" thickBot="1" x14ac:dyDescent="0.35">
      <c r="A14" s="6"/>
      <c r="B14" s="15" t="s">
        <v>104</v>
      </c>
      <c r="C14" s="18">
        <f>18*320</f>
        <v>5760</v>
      </c>
      <c r="D14" s="20">
        <v>31.5</v>
      </c>
      <c r="E14" s="19">
        <f>D14*C14</f>
        <v>181440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603244.80000000005</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13"/>
      <c r="C25" s="76"/>
      <c r="D25" s="76"/>
      <c r="E25" s="19">
        <f>C25*D25</f>
        <v>0</v>
      </c>
      <c r="F25" s="6"/>
      <c r="G25" s="8" t="s">
        <v>125</v>
      </c>
      <c r="H25" s="6"/>
      <c r="I25" s="6"/>
      <c r="J25" s="6"/>
      <c r="K25" s="6"/>
      <c r="L25" s="6"/>
      <c r="M25" s="6"/>
      <c r="N25" s="6"/>
    </row>
    <row r="26" spans="1:14" ht="15" thickBot="1" x14ac:dyDescent="0.35">
      <c r="A26" s="6"/>
      <c r="B26" s="28"/>
      <c r="C26" s="77"/>
      <c r="D26" s="78"/>
      <c r="E26" s="19">
        <f>C26*D26</f>
        <v>0</v>
      </c>
      <c r="F26" s="6"/>
      <c r="G26" s="37" t="s">
        <v>127</v>
      </c>
      <c r="H26" s="38"/>
      <c r="I26" s="38"/>
      <c r="J26" s="39"/>
      <c r="K26" s="40"/>
      <c r="L26" s="6"/>
      <c r="M26" s="6"/>
      <c r="N26" s="6"/>
    </row>
    <row r="27" spans="1:14" ht="15" thickBot="1" x14ac:dyDescent="0.35">
      <c r="A27" s="6"/>
      <c r="B27" s="31"/>
      <c r="C27" s="43"/>
      <c r="D27" s="44"/>
      <c r="E27" s="19">
        <f>C27*D27</f>
        <v>0</v>
      </c>
      <c r="F27" s="6"/>
      <c r="G27" s="34" t="s">
        <v>129</v>
      </c>
      <c r="H27" s="38" t="s">
        <v>130</v>
      </c>
      <c r="I27" s="35"/>
      <c r="J27" s="39">
        <v>3366.25</v>
      </c>
      <c r="K27" s="41">
        <f>I27*J27</f>
        <v>0</v>
      </c>
      <c r="L27" s="42" t="s">
        <v>131</v>
      </c>
      <c r="M27" s="6"/>
      <c r="N27" s="6"/>
    </row>
    <row r="28" spans="1:14" ht="15" thickBot="1" x14ac:dyDescent="0.35">
      <c r="A28" s="6"/>
      <c r="B28" s="31"/>
      <c r="C28" s="43"/>
      <c r="D28" s="44"/>
      <c r="E28" s="19">
        <f t="shared" ref="E28:E37" si="1">C28*D28</f>
        <v>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t="s">
        <v>153</v>
      </c>
      <c r="C40" s="48">
        <v>2</v>
      </c>
      <c r="D40" s="36">
        <v>2500</v>
      </c>
      <c r="E40" s="19">
        <f>C40*D40</f>
        <v>5000</v>
      </c>
      <c r="F40" s="6"/>
      <c r="G40" s="37" t="s">
        <v>149</v>
      </c>
      <c r="H40" s="38"/>
      <c r="I40" s="38"/>
      <c r="J40" s="39"/>
      <c r="K40" s="40"/>
      <c r="L40" s="6"/>
      <c r="M40" s="6"/>
      <c r="N40" s="6"/>
    </row>
    <row r="41" spans="1:14" ht="15" thickBot="1" x14ac:dyDescent="0.35">
      <c r="A41" s="6"/>
      <c r="B41" s="34" t="s">
        <v>154</v>
      </c>
      <c r="C41" s="48">
        <v>1</v>
      </c>
      <c r="D41" s="36">
        <v>500</v>
      </c>
      <c r="E41" s="19">
        <f>C41*D41</f>
        <v>500</v>
      </c>
      <c r="F41" s="6"/>
      <c r="G41" s="34" t="s">
        <v>151</v>
      </c>
      <c r="H41" s="38" t="s">
        <v>130</v>
      </c>
      <c r="I41" s="48"/>
      <c r="J41" s="39">
        <v>1860.06</v>
      </c>
      <c r="K41" s="41">
        <f t="shared" ref="K41:K42" si="3">I41*J41</f>
        <v>0</v>
      </c>
      <c r="L41" s="6" t="s">
        <v>131</v>
      </c>
      <c r="M41" s="6"/>
      <c r="N41" s="6"/>
    </row>
    <row r="42" spans="1:14" ht="15" thickBot="1" x14ac:dyDescent="0.35">
      <c r="A42" s="6"/>
      <c r="B42" s="34" t="s">
        <v>148</v>
      </c>
      <c r="C42" s="35">
        <v>12</v>
      </c>
      <c r="D42" s="36">
        <v>1889.72</v>
      </c>
      <c r="E42" s="19">
        <f t="shared" ref="E42:E53" si="4">C42*D42</f>
        <v>22676.639999999999</v>
      </c>
      <c r="F42" s="6"/>
      <c r="G42" s="34" t="s">
        <v>152</v>
      </c>
      <c r="H42" s="38" t="s">
        <v>130</v>
      </c>
      <c r="I42" s="48"/>
      <c r="J42" s="39">
        <v>326.83999999999997</v>
      </c>
      <c r="K42" s="41">
        <f t="shared" si="3"/>
        <v>0</v>
      </c>
      <c r="L42" s="6" t="s">
        <v>131</v>
      </c>
      <c r="M42" s="6"/>
      <c r="N42" s="6"/>
    </row>
    <row r="43" spans="1:14" ht="15" thickBot="1" x14ac:dyDescent="0.35">
      <c r="A43" s="6"/>
      <c r="B43" s="34" t="s">
        <v>150</v>
      </c>
      <c r="C43" s="35">
        <v>12</v>
      </c>
      <c r="D43" s="36">
        <v>812.73</v>
      </c>
      <c r="E43" s="19">
        <f t="shared" si="4"/>
        <v>9752.76</v>
      </c>
      <c r="F43" s="6"/>
      <c r="G43" s="34" t="s">
        <v>153</v>
      </c>
      <c r="H43" s="38" t="s">
        <v>142</v>
      </c>
      <c r="I43" s="48"/>
      <c r="J43" s="39">
        <v>2500</v>
      </c>
      <c r="K43" s="41">
        <f>I43*J43</f>
        <v>0</v>
      </c>
      <c r="L43" s="6" t="s">
        <v>139</v>
      </c>
      <c r="M43" s="6"/>
      <c r="N43" s="6"/>
    </row>
    <row r="44" spans="1:14" ht="15" thickBot="1" x14ac:dyDescent="0.35">
      <c r="A44" s="6"/>
      <c r="B44" s="31"/>
      <c r="C44" s="44"/>
      <c r="D44" s="44"/>
      <c r="E44" s="19">
        <f t="shared" si="4"/>
        <v>0</v>
      </c>
      <c r="F44" s="6"/>
      <c r="G44" s="34" t="s">
        <v>154</v>
      </c>
      <c r="H44" s="38" t="s">
        <v>142</v>
      </c>
      <c r="I44" s="48"/>
      <c r="J44" s="39">
        <v>500</v>
      </c>
      <c r="K44" s="41">
        <f>I44*J44</f>
        <v>0</v>
      </c>
      <c r="L44" s="6" t="s">
        <v>139</v>
      </c>
      <c r="M44" s="6"/>
      <c r="N44" s="6"/>
    </row>
    <row r="45" spans="1:14" ht="15" thickBot="1" x14ac:dyDescent="0.35">
      <c r="A45" s="6"/>
      <c r="B45" s="31"/>
      <c r="C45" s="44"/>
      <c r="D45" s="44"/>
      <c r="E45" s="19">
        <f t="shared" si="4"/>
        <v>0</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37929.4</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37929.4</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1520176.8960000002</v>
      </c>
      <c r="F57" s="6"/>
      <c r="G57" s="37" t="s">
        <v>171</v>
      </c>
      <c r="H57" s="38"/>
      <c r="I57" s="38"/>
      <c r="J57" s="39"/>
      <c r="K57" s="40"/>
      <c r="L57" s="6"/>
      <c r="M57" s="6"/>
      <c r="N57" s="6"/>
    </row>
    <row r="58" spans="1:14" ht="15" thickBot="1" x14ac:dyDescent="0.35">
      <c r="A58" s="6"/>
      <c r="B58" s="230" t="s">
        <v>172</v>
      </c>
      <c r="C58" s="232"/>
      <c r="D58" s="56" t="s">
        <v>173</v>
      </c>
      <c r="E58" s="57">
        <f>E55*J22</f>
        <v>48170.338000000003</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1568347.2340000002</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0AF68-0A1A-439B-B3DC-B2C30237CFB4}">
  <dimension ref="A1:N84"/>
  <sheetViews>
    <sheetView workbookViewId="0">
      <selection activeCell="I53" sqref="I53:I59"/>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728</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192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24*80</f>
        <v>1920</v>
      </c>
      <c r="D10" s="18">
        <v>118.66</v>
      </c>
      <c r="E10" s="19">
        <f>D10*C10</f>
        <v>227827.19999999998</v>
      </c>
      <c r="F10" s="6"/>
      <c r="G10" s="13" t="s">
        <v>98</v>
      </c>
      <c r="H10" s="11">
        <v>24.75</v>
      </c>
      <c r="I10" s="6"/>
      <c r="J10" s="6"/>
      <c r="K10" s="6"/>
      <c r="L10" s="6"/>
      <c r="M10" s="6"/>
      <c r="N10" s="6"/>
    </row>
    <row r="11" spans="1:14" ht="15" thickBot="1" x14ac:dyDescent="0.35">
      <c r="A11" s="6"/>
      <c r="B11" s="15" t="s">
        <v>99</v>
      </c>
      <c r="C11" s="18">
        <f>24*100</f>
        <v>2400</v>
      </c>
      <c r="D11" s="20">
        <v>83.05</v>
      </c>
      <c r="E11" s="19">
        <f>D11*C11</f>
        <v>199320</v>
      </c>
      <c r="F11" s="6"/>
      <c r="G11" s="6"/>
      <c r="H11" s="21"/>
      <c r="I11" s="6"/>
      <c r="J11" s="6"/>
      <c r="K11" s="6"/>
      <c r="L11" s="6"/>
      <c r="M11" s="6"/>
      <c r="N11" s="6"/>
    </row>
    <row r="12" spans="1:14" ht="15" thickBot="1" x14ac:dyDescent="0.35">
      <c r="A12" s="6"/>
      <c r="B12" s="13" t="s">
        <v>100</v>
      </c>
      <c r="C12" s="18">
        <f>24*100</f>
        <v>2400</v>
      </c>
      <c r="D12" s="20">
        <v>69.42</v>
      </c>
      <c r="E12" s="19">
        <f>D12*C12</f>
        <v>166608</v>
      </c>
      <c r="F12" s="6"/>
      <c r="G12" s="6"/>
      <c r="H12" s="6"/>
      <c r="I12" s="6"/>
      <c r="J12" s="6"/>
      <c r="K12" s="6"/>
      <c r="L12" s="6"/>
      <c r="M12" s="6"/>
      <c r="N12" s="6"/>
    </row>
    <row r="13" spans="1:14" ht="15" thickBot="1" x14ac:dyDescent="0.35">
      <c r="A13" s="6"/>
      <c r="B13" s="15" t="s">
        <v>101</v>
      </c>
      <c r="C13" s="18">
        <f>24*160</f>
        <v>3840</v>
      </c>
      <c r="D13" s="20">
        <v>40.56</v>
      </c>
      <c r="E13" s="19">
        <f>D13*C13</f>
        <v>155750.40000000002</v>
      </c>
      <c r="F13" s="6"/>
      <c r="G13" s="227" t="s">
        <v>102</v>
      </c>
      <c r="H13" s="228"/>
      <c r="I13" s="229"/>
      <c r="J13" s="11" t="s">
        <v>103</v>
      </c>
      <c r="K13" s="6"/>
      <c r="L13" s="6"/>
      <c r="M13" s="6"/>
      <c r="N13" s="6"/>
    </row>
    <row r="14" spans="1:14" ht="15" thickBot="1" x14ac:dyDescent="0.35">
      <c r="A14" s="6"/>
      <c r="B14" s="15" t="s">
        <v>104</v>
      </c>
      <c r="C14" s="18">
        <f>24*160</f>
        <v>3840</v>
      </c>
      <c r="D14" s="20">
        <v>31.5</v>
      </c>
      <c r="E14" s="19">
        <f>D14*C14</f>
        <v>120960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870465.6</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72">
        <v>100</v>
      </c>
      <c r="D25" s="73">
        <v>150</v>
      </c>
      <c r="E25" s="19">
        <f>C25*D25</f>
        <v>15000</v>
      </c>
      <c r="F25" s="6"/>
      <c r="G25" s="8" t="s">
        <v>125</v>
      </c>
      <c r="H25" s="6"/>
      <c r="I25" s="6"/>
      <c r="J25" s="6"/>
      <c r="K25" s="6"/>
      <c r="L25" s="6"/>
      <c r="M25" s="6"/>
      <c r="N25" s="6"/>
    </row>
    <row r="26" spans="1:14" ht="15" thickBot="1" x14ac:dyDescent="0.35">
      <c r="A26" s="6"/>
      <c r="B26" s="34" t="s">
        <v>132</v>
      </c>
      <c r="C26" s="74">
        <v>1000</v>
      </c>
      <c r="D26" s="73">
        <v>5</v>
      </c>
      <c r="E26" s="19">
        <f>C26*D26</f>
        <v>5000</v>
      </c>
      <c r="F26" s="6"/>
      <c r="G26" s="37" t="s">
        <v>127</v>
      </c>
      <c r="H26" s="38"/>
      <c r="I26" s="38"/>
      <c r="J26" s="39"/>
      <c r="K26" s="40"/>
      <c r="L26" s="6"/>
      <c r="M26" s="6"/>
      <c r="N26" s="6"/>
    </row>
    <row r="27" spans="1:14" ht="15" thickBot="1" x14ac:dyDescent="0.35">
      <c r="A27" s="6"/>
      <c r="B27" s="34" t="s">
        <v>126</v>
      </c>
      <c r="C27" s="75">
        <v>100</v>
      </c>
      <c r="D27" s="73">
        <v>150</v>
      </c>
      <c r="E27" s="19">
        <f>C27*D27</f>
        <v>15000</v>
      </c>
      <c r="F27" s="6"/>
      <c r="G27" s="34" t="s">
        <v>129</v>
      </c>
      <c r="H27" s="38" t="s">
        <v>130</v>
      </c>
      <c r="I27" s="35"/>
      <c r="J27" s="39">
        <v>3366.25</v>
      </c>
      <c r="K27" s="41">
        <f>I27*J27</f>
        <v>0</v>
      </c>
      <c r="L27" s="42" t="s">
        <v>131</v>
      </c>
      <c r="M27" s="6"/>
      <c r="N27" s="6"/>
    </row>
    <row r="28" spans="1:14" ht="15" thickBot="1" x14ac:dyDescent="0.35">
      <c r="A28" s="6"/>
      <c r="B28" s="34" t="s">
        <v>128</v>
      </c>
      <c r="C28" s="93">
        <v>100</v>
      </c>
      <c r="D28" s="73">
        <v>60</v>
      </c>
      <c r="E28" s="19">
        <f t="shared" ref="E28:E37" si="1">C28*D28</f>
        <v>6000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41000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t="s">
        <v>152</v>
      </c>
      <c r="C40" s="48">
        <v>1</v>
      </c>
      <c r="D40" s="36">
        <v>326.83999999999997</v>
      </c>
      <c r="E40" s="19">
        <f>C40*D40</f>
        <v>326.83999999999997</v>
      </c>
      <c r="F40" s="6"/>
      <c r="G40" s="37" t="s">
        <v>149</v>
      </c>
      <c r="H40" s="38"/>
      <c r="I40" s="38"/>
      <c r="J40" s="39"/>
      <c r="K40" s="40"/>
      <c r="L40" s="6"/>
      <c r="M40" s="6"/>
      <c r="N40" s="6"/>
    </row>
    <row r="41" spans="1:14" ht="15" thickBot="1" x14ac:dyDescent="0.35">
      <c r="A41" s="6"/>
      <c r="B41" s="34" t="s">
        <v>153</v>
      </c>
      <c r="C41" s="48">
        <v>2</v>
      </c>
      <c r="D41" s="36">
        <v>2500</v>
      </c>
      <c r="E41" s="19">
        <f>C41*D41</f>
        <v>5000</v>
      </c>
      <c r="F41" s="6"/>
      <c r="G41" s="34" t="s">
        <v>151</v>
      </c>
      <c r="H41" s="38" t="s">
        <v>130</v>
      </c>
      <c r="I41" s="48"/>
      <c r="J41" s="39">
        <v>1860.06</v>
      </c>
      <c r="K41" s="41">
        <f t="shared" ref="K41:K42" si="3">I41*J41</f>
        <v>0</v>
      </c>
      <c r="L41" s="6" t="s">
        <v>131</v>
      </c>
      <c r="M41" s="6"/>
      <c r="N41" s="6"/>
    </row>
    <row r="42" spans="1:14" ht="15" thickBot="1" x14ac:dyDescent="0.35">
      <c r="A42" s="6"/>
      <c r="B42" s="34" t="s">
        <v>154</v>
      </c>
      <c r="C42" s="48">
        <v>1</v>
      </c>
      <c r="D42" s="36">
        <v>500</v>
      </c>
      <c r="E42" s="19">
        <f t="shared" ref="E42:E53" si="4">C42*D42</f>
        <v>500</v>
      </c>
      <c r="F42" s="6"/>
      <c r="G42" s="34" t="s">
        <v>152</v>
      </c>
      <c r="H42" s="38" t="s">
        <v>130</v>
      </c>
      <c r="I42" s="48"/>
      <c r="J42" s="39">
        <v>326.83999999999997</v>
      </c>
      <c r="K42" s="41">
        <f t="shared" si="3"/>
        <v>0</v>
      </c>
      <c r="L42" s="6" t="s">
        <v>131</v>
      </c>
      <c r="M42" s="6"/>
      <c r="N42" s="6"/>
    </row>
    <row r="43" spans="1:14" ht="15" thickBot="1" x14ac:dyDescent="0.35">
      <c r="A43" s="6"/>
      <c r="B43" s="34" t="s">
        <v>155</v>
      </c>
      <c r="C43" s="48">
        <v>1</v>
      </c>
      <c r="D43" s="36">
        <v>700</v>
      </c>
      <c r="E43" s="19">
        <f t="shared" si="4"/>
        <v>700</v>
      </c>
      <c r="F43" s="6"/>
      <c r="G43" s="34" t="s">
        <v>153</v>
      </c>
      <c r="H43" s="38" t="s">
        <v>142</v>
      </c>
      <c r="I43" s="48"/>
      <c r="J43" s="39">
        <v>2500</v>
      </c>
      <c r="K43" s="41">
        <f>I43*J43</f>
        <v>0</v>
      </c>
      <c r="L43" s="6" t="s">
        <v>139</v>
      </c>
      <c r="M43" s="6"/>
      <c r="N43" s="6"/>
    </row>
    <row r="44" spans="1:14" ht="15" thickBot="1" x14ac:dyDescent="0.35">
      <c r="A44" s="6"/>
      <c r="B44" s="34" t="s">
        <v>148</v>
      </c>
      <c r="C44" s="35">
        <v>12</v>
      </c>
      <c r="D44" s="36">
        <v>1889.72</v>
      </c>
      <c r="E44" s="19">
        <f t="shared" si="4"/>
        <v>22676.639999999999</v>
      </c>
      <c r="F44" s="6"/>
      <c r="G44" s="34" t="s">
        <v>154</v>
      </c>
      <c r="H44" s="38" t="s">
        <v>142</v>
      </c>
      <c r="I44" s="48"/>
      <c r="J44" s="39">
        <v>500</v>
      </c>
      <c r="K44" s="41">
        <f>I44*J44</f>
        <v>0</v>
      </c>
      <c r="L44" s="6" t="s">
        <v>139</v>
      </c>
      <c r="M44" s="6"/>
      <c r="N44" s="6"/>
    </row>
    <row r="45" spans="1:14" ht="15" thickBot="1" x14ac:dyDescent="0.35">
      <c r="A45" s="6"/>
      <c r="B45" s="34" t="s">
        <v>150</v>
      </c>
      <c r="C45" s="35">
        <v>12</v>
      </c>
      <c r="D45" s="36">
        <v>812.73</v>
      </c>
      <c r="E45" s="19">
        <f t="shared" si="4"/>
        <v>9752.76</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38956.239999999998</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79956.239999999991</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2193573.3119999999</v>
      </c>
      <c r="F57" s="6"/>
      <c r="G57" s="37" t="s">
        <v>171</v>
      </c>
      <c r="H57" s="38"/>
      <c r="I57" s="38"/>
      <c r="J57" s="39"/>
      <c r="K57" s="40"/>
      <c r="L57" s="6"/>
      <c r="M57" s="6"/>
      <c r="N57" s="6"/>
    </row>
    <row r="58" spans="1:14" ht="15" thickBot="1" x14ac:dyDescent="0.35">
      <c r="A58" s="6"/>
      <c r="B58" s="230" t="s">
        <v>172</v>
      </c>
      <c r="C58" s="232"/>
      <c r="D58" s="56" t="s">
        <v>173</v>
      </c>
      <c r="E58" s="57">
        <f>E55*J22</f>
        <v>101544.42479999999</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2295117.7368000001</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row r="73" spans="1:14" x14ac:dyDescent="0.3">
      <c r="A73" s="6"/>
      <c r="B73" s="6"/>
      <c r="C73" s="6"/>
      <c r="D73" s="6"/>
      <c r="E73" s="6"/>
      <c r="F73" s="6"/>
      <c r="G73" s="6"/>
      <c r="H73" s="6"/>
      <c r="I73" s="6"/>
      <c r="J73" s="6"/>
      <c r="K73" s="6"/>
      <c r="L73" s="6"/>
      <c r="M73" s="6"/>
      <c r="N73" s="6"/>
    </row>
    <row r="74" spans="1:14" x14ac:dyDescent="0.3">
      <c r="A74" s="6"/>
      <c r="B74" s="6"/>
      <c r="C74" s="6"/>
      <c r="D74" s="6"/>
      <c r="E74" s="6"/>
      <c r="F74" s="6"/>
      <c r="G74" s="6"/>
      <c r="H74" s="6"/>
      <c r="I74" s="6"/>
      <c r="J74" s="6"/>
      <c r="K74" s="6"/>
      <c r="L74" s="6"/>
      <c r="M74" s="6"/>
      <c r="N74" s="6"/>
    </row>
    <row r="75" spans="1:14" x14ac:dyDescent="0.3">
      <c r="A75" s="6"/>
      <c r="B75" s="6"/>
      <c r="C75" s="6"/>
      <c r="D75" s="6"/>
      <c r="E75" s="6"/>
      <c r="F75" s="6"/>
      <c r="G75" s="6"/>
      <c r="H75" s="6"/>
      <c r="I75" s="6"/>
      <c r="J75" s="6"/>
      <c r="K75" s="6"/>
      <c r="L75" s="6"/>
      <c r="M75" s="6"/>
      <c r="N75" s="6"/>
    </row>
    <row r="76" spans="1:14" x14ac:dyDescent="0.3">
      <c r="A76" s="6"/>
      <c r="B76" s="6"/>
      <c r="C76" s="6"/>
      <c r="D76" s="6"/>
      <c r="E76" s="6"/>
      <c r="F76" s="6"/>
      <c r="G76" s="6"/>
      <c r="H76" s="6"/>
      <c r="I76" s="6"/>
      <c r="J76" s="6"/>
      <c r="K76" s="6"/>
      <c r="L76" s="6"/>
      <c r="M76" s="6"/>
      <c r="N76" s="6"/>
    </row>
    <row r="77" spans="1:14" x14ac:dyDescent="0.3">
      <c r="A77" s="6"/>
      <c r="B77" s="6"/>
      <c r="C77" s="6"/>
      <c r="D77" s="6"/>
      <c r="E77" s="6"/>
      <c r="F77" s="6"/>
      <c r="G77" s="6"/>
      <c r="H77" s="6"/>
      <c r="I77" s="6"/>
      <c r="J77" s="6"/>
      <c r="K77" s="6"/>
      <c r="L77" s="6"/>
      <c r="M77" s="6"/>
      <c r="N77" s="6"/>
    </row>
    <row r="78" spans="1:14" x14ac:dyDescent="0.3">
      <c r="A78" s="6"/>
      <c r="B78" s="6"/>
      <c r="C78" s="6"/>
      <c r="D78" s="6"/>
      <c r="E78" s="6"/>
      <c r="F78" s="6"/>
      <c r="G78" s="6"/>
      <c r="H78" s="6"/>
      <c r="I78" s="6"/>
      <c r="J78" s="6"/>
      <c r="K78" s="6"/>
      <c r="L78" s="6"/>
      <c r="M78" s="6"/>
      <c r="N78" s="6"/>
    </row>
    <row r="79" spans="1:14" x14ac:dyDescent="0.3">
      <c r="A79" s="6"/>
      <c r="B79" s="6"/>
      <c r="C79" s="6"/>
      <c r="D79" s="6"/>
      <c r="E79" s="6"/>
      <c r="F79" s="6"/>
      <c r="G79" s="6"/>
      <c r="H79" s="6"/>
      <c r="I79" s="6"/>
      <c r="J79" s="6"/>
      <c r="K79" s="6"/>
      <c r="L79" s="6"/>
      <c r="M79" s="6"/>
      <c r="N79" s="6"/>
    </row>
    <row r="80" spans="1:14" x14ac:dyDescent="0.3">
      <c r="A80" s="6"/>
      <c r="B80" s="6"/>
      <c r="C80" s="6"/>
      <c r="D80" s="6"/>
      <c r="E80" s="6"/>
      <c r="F80" s="6"/>
      <c r="G80" s="6"/>
      <c r="H80" s="6"/>
      <c r="I80" s="6"/>
      <c r="J80" s="6"/>
      <c r="K80" s="6"/>
      <c r="L80" s="6"/>
      <c r="M80" s="6"/>
      <c r="N80" s="6"/>
    </row>
    <row r="81" spans="1:14" x14ac:dyDescent="0.3">
      <c r="A81" s="6"/>
      <c r="B81" s="6"/>
      <c r="C81" s="6"/>
      <c r="D81" s="6"/>
      <c r="E81" s="6"/>
      <c r="F81" s="6"/>
      <c r="G81" s="6"/>
      <c r="H81" s="6"/>
      <c r="I81" s="6"/>
      <c r="J81" s="6"/>
      <c r="K81" s="6"/>
      <c r="L81" s="6"/>
      <c r="M81" s="6"/>
      <c r="N81" s="6"/>
    </row>
    <row r="82" spans="1:14" x14ac:dyDescent="0.3">
      <c r="A82" s="6"/>
      <c r="B82" s="6"/>
      <c r="C82" s="6"/>
      <c r="D82" s="6"/>
      <c r="E82" s="6"/>
      <c r="F82" s="6"/>
      <c r="G82" s="6"/>
      <c r="H82" s="6"/>
      <c r="I82" s="6"/>
      <c r="J82" s="6"/>
      <c r="K82" s="6"/>
      <c r="L82" s="6"/>
      <c r="M82" s="6"/>
      <c r="N82" s="6"/>
    </row>
    <row r="83" spans="1:14" x14ac:dyDescent="0.3">
      <c r="A83" s="6"/>
      <c r="B83" s="6"/>
      <c r="C83" s="6"/>
      <c r="D83" s="6"/>
      <c r="E83" s="6"/>
      <c r="F83" s="6"/>
      <c r="G83" s="6"/>
      <c r="H83" s="6"/>
      <c r="I83" s="6"/>
      <c r="J83" s="6"/>
      <c r="K83" s="6"/>
      <c r="L83" s="6"/>
      <c r="M83" s="6"/>
      <c r="N83" s="6"/>
    </row>
    <row r="84" spans="1:14" x14ac:dyDescent="0.3">
      <c r="A84" s="6"/>
      <c r="B84" s="6"/>
      <c r="C84" s="6"/>
      <c r="D84" s="6"/>
      <c r="E84" s="6"/>
      <c r="F84" s="6"/>
      <c r="G84" s="6"/>
      <c r="H84" s="6"/>
      <c r="I84" s="6"/>
      <c r="J84" s="6"/>
      <c r="K84" s="6"/>
      <c r="L84" s="6"/>
      <c r="M84" s="6"/>
      <c r="N84" s="6"/>
    </row>
  </sheetData>
  <mergeCells count="27">
    <mergeCell ref="C21:D21"/>
    <mergeCell ref="G21:H21"/>
    <mergeCell ref="C4:E4"/>
    <mergeCell ref="B5:B6"/>
    <mergeCell ref="D5:D6"/>
    <mergeCell ref="C8:C9"/>
    <mergeCell ref="D8:D9"/>
    <mergeCell ref="E8:E9"/>
    <mergeCell ref="G13:I13"/>
    <mergeCell ref="G14:I14"/>
    <mergeCell ref="G15:I15"/>
    <mergeCell ref="G16:I16"/>
    <mergeCell ref="G17:I17"/>
    <mergeCell ref="G67:J67"/>
    <mergeCell ref="C22:D22"/>
    <mergeCell ref="G22:H22"/>
    <mergeCell ref="C23:C24"/>
    <mergeCell ref="D23:D24"/>
    <mergeCell ref="E23:E24"/>
    <mergeCell ref="C38:D38"/>
    <mergeCell ref="B68:F68"/>
    <mergeCell ref="B69:F69"/>
    <mergeCell ref="C54:D54"/>
    <mergeCell ref="B55:C55"/>
    <mergeCell ref="B57:C57"/>
    <mergeCell ref="B58:C58"/>
    <mergeCell ref="B61:E67"/>
  </mergeCells>
  <pageMargins left="0.511811024" right="0.511811024" top="0.78740157499999996" bottom="0.78740157499999996" header="0.31496062000000002" footer="0.3149606200000000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69DE48-26A9-4EF3-8F77-A0DF3AC33F6A}">
  <dimension ref="A1:K45"/>
  <sheetViews>
    <sheetView showGridLines="0" workbookViewId="0">
      <selection activeCell="E10" sqref="E10:E11"/>
    </sheetView>
  </sheetViews>
  <sheetFormatPr defaultRowHeight="14.4" x14ac:dyDescent="0.3"/>
  <cols>
    <col min="1" max="1" width="10.109375" bestFit="1" customWidth="1"/>
    <col min="2" max="2" width="21" bestFit="1" customWidth="1"/>
    <col min="3" max="3" width="7" bestFit="1" customWidth="1"/>
    <col min="4" max="4" width="16" style="79" bestFit="1" customWidth="1"/>
    <col min="5" max="5" width="19" bestFit="1" customWidth="1"/>
    <col min="6" max="6" width="22.5546875" bestFit="1" customWidth="1"/>
    <col min="7" max="7" width="12" customWidth="1"/>
    <col min="8" max="8" width="25.88671875" customWidth="1"/>
    <col min="9" max="9" width="15.33203125" bestFit="1" customWidth="1"/>
    <col min="10" max="10" width="11" style="79" customWidth="1"/>
    <col min="11" max="11" width="11.109375" style="79" customWidth="1"/>
    <col min="12" max="12" width="16.44140625" bestFit="1" customWidth="1"/>
    <col min="13" max="13" width="16.88671875" customWidth="1"/>
    <col min="14" max="14" width="14.5546875" customWidth="1"/>
    <col min="16" max="16" width="57.21875" bestFit="1" customWidth="1"/>
    <col min="17" max="17" width="17.88671875" customWidth="1"/>
    <col min="18" max="18" width="16.5546875" bestFit="1" customWidth="1"/>
    <col min="19" max="19" width="14.33203125" bestFit="1" customWidth="1"/>
    <col min="20" max="20" width="14.77734375" bestFit="1" customWidth="1"/>
    <col min="257" max="257" width="10.109375" bestFit="1" customWidth="1"/>
    <col min="258" max="258" width="21" bestFit="1" customWidth="1"/>
    <col min="259" max="259" width="7" bestFit="1" customWidth="1"/>
    <col min="260" max="260" width="16" bestFit="1" customWidth="1"/>
    <col min="261" max="261" width="19" bestFit="1" customWidth="1"/>
    <col min="262" max="262" width="22.5546875" bestFit="1" customWidth="1"/>
    <col min="263" max="263" width="12" customWidth="1"/>
    <col min="264" max="264" width="25.88671875" customWidth="1"/>
    <col min="265" max="265" width="15.33203125" bestFit="1" customWidth="1"/>
    <col min="266" max="266" width="11" customWidth="1"/>
    <col min="267" max="267" width="11.109375" customWidth="1"/>
    <col min="268" max="268" width="16.44140625" bestFit="1" customWidth="1"/>
    <col min="269" max="269" width="16.88671875" customWidth="1"/>
    <col min="270" max="270" width="14.5546875" customWidth="1"/>
    <col min="272" max="272" width="57.21875" bestFit="1" customWidth="1"/>
    <col min="273" max="273" width="17.88671875" customWidth="1"/>
    <col min="274" max="274" width="16.5546875" bestFit="1" customWidth="1"/>
    <col min="275" max="275" width="14.33203125" bestFit="1" customWidth="1"/>
    <col min="276" max="276" width="14.77734375" bestFit="1" customWidth="1"/>
    <col min="513" max="513" width="10.109375" bestFit="1" customWidth="1"/>
    <col min="514" max="514" width="21" bestFit="1" customWidth="1"/>
    <col min="515" max="515" width="7" bestFit="1" customWidth="1"/>
    <col min="516" max="516" width="16" bestFit="1" customWidth="1"/>
    <col min="517" max="517" width="19" bestFit="1" customWidth="1"/>
    <col min="518" max="518" width="22.5546875" bestFit="1" customWidth="1"/>
    <col min="519" max="519" width="12" customWidth="1"/>
    <col min="520" max="520" width="25.88671875" customWidth="1"/>
    <col min="521" max="521" width="15.33203125" bestFit="1" customWidth="1"/>
    <col min="522" max="522" width="11" customWidth="1"/>
    <col min="523" max="523" width="11.109375" customWidth="1"/>
    <col min="524" max="524" width="16.44140625" bestFit="1" customWidth="1"/>
    <col min="525" max="525" width="16.88671875" customWidth="1"/>
    <col min="526" max="526" width="14.5546875" customWidth="1"/>
    <col min="528" max="528" width="57.21875" bestFit="1" customWidth="1"/>
    <col min="529" max="529" width="17.88671875" customWidth="1"/>
    <col min="530" max="530" width="16.5546875" bestFit="1" customWidth="1"/>
    <col min="531" max="531" width="14.33203125" bestFit="1" customWidth="1"/>
    <col min="532" max="532" width="14.77734375" bestFit="1" customWidth="1"/>
    <col min="769" max="769" width="10.109375" bestFit="1" customWidth="1"/>
    <col min="770" max="770" width="21" bestFit="1" customWidth="1"/>
    <col min="771" max="771" width="7" bestFit="1" customWidth="1"/>
    <col min="772" max="772" width="16" bestFit="1" customWidth="1"/>
    <col min="773" max="773" width="19" bestFit="1" customWidth="1"/>
    <col min="774" max="774" width="22.5546875" bestFit="1" customWidth="1"/>
    <col min="775" max="775" width="12" customWidth="1"/>
    <col min="776" max="776" width="25.88671875" customWidth="1"/>
    <col min="777" max="777" width="15.33203125" bestFit="1" customWidth="1"/>
    <col min="778" max="778" width="11" customWidth="1"/>
    <col min="779" max="779" width="11.109375" customWidth="1"/>
    <col min="780" max="780" width="16.44140625" bestFit="1" customWidth="1"/>
    <col min="781" max="781" width="16.88671875" customWidth="1"/>
    <col min="782" max="782" width="14.5546875" customWidth="1"/>
    <col min="784" max="784" width="57.21875" bestFit="1" customWidth="1"/>
    <col min="785" max="785" width="17.88671875" customWidth="1"/>
    <col min="786" max="786" width="16.5546875" bestFit="1" customWidth="1"/>
    <col min="787" max="787" width="14.33203125" bestFit="1" customWidth="1"/>
    <col min="788" max="788" width="14.77734375" bestFit="1" customWidth="1"/>
    <col min="1025" max="1025" width="10.109375" bestFit="1" customWidth="1"/>
    <col min="1026" max="1026" width="21" bestFit="1" customWidth="1"/>
    <col min="1027" max="1027" width="7" bestFit="1" customWidth="1"/>
    <col min="1028" max="1028" width="16" bestFit="1" customWidth="1"/>
    <col min="1029" max="1029" width="19" bestFit="1" customWidth="1"/>
    <col min="1030" max="1030" width="22.5546875" bestFit="1" customWidth="1"/>
    <col min="1031" max="1031" width="12" customWidth="1"/>
    <col min="1032" max="1032" width="25.88671875" customWidth="1"/>
    <col min="1033" max="1033" width="15.33203125" bestFit="1" customWidth="1"/>
    <col min="1034" max="1034" width="11" customWidth="1"/>
    <col min="1035" max="1035" width="11.109375" customWidth="1"/>
    <col min="1036" max="1036" width="16.44140625" bestFit="1" customWidth="1"/>
    <col min="1037" max="1037" width="16.88671875" customWidth="1"/>
    <col min="1038" max="1038" width="14.5546875" customWidth="1"/>
    <col min="1040" max="1040" width="57.21875" bestFit="1" customWidth="1"/>
    <col min="1041" max="1041" width="17.88671875" customWidth="1"/>
    <col min="1042" max="1042" width="16.5546875" bestFit="1" customWidth="1"/>
    <col min="1043" max="1043" width="14.33203125" bestFit="1" customWidth="1"/>
    <col min="1044" max="1044" width="14.77734375" bestFit="1" customWidth="1"/>
    <col min="1281" max="1281" width="10.109375" bestFit="1" customWidth="1"/>
    <col min="1282" max="1282" width="21" bestFit="1" customWidth="1"/>
    <col min="1283" max="1283" width="7" bestFit="1" customWidth="1"/>
    <col min="1284" max="1284" width="16" bestFit="1" customWidth="1"/>
    <col min="1285" max="1285" width="19" bestFit="1" customWidth="1"/>
    <col min="1286" max="1286" width="22.5546875" bestFit="1" customWidth="1"/>
    <col min="1287" max="1287" width="12" customWidth="1"/>
    <col min="1288" max="1288" width="25.88671875" customWidth="1"/>
    <col min="1289" max="1289" width="15.33203125" bestFit="1" customWidth="1"/>
    <col min="1290" max="1290" width="11" customWidth="1"/>
    <col min="1291" max="1291" width="11.109375" customWidth="1"/>
    <col min="1292" max="1292" width="16.44140625" bestFit="1" customWidth="1"/>
    <col min="1293" max="1293" width="16.88671875" customWidth="1"/>
    <col min="1294" max="1294" width="14.5546875" customWidth="1"/>
    <col min="1296" max="1296" width="57.21875" bestFit="1" customWidth="1"/>
    <col min="1297" max="1297" width="17.88671875" customWidth="1"/>
    <col min="1298" max="1298" width="16.5546875" bestFit="1" customWidth="1"/>
    <col min="1299" max="1299" width="14.33203125" bestFit="1" customWidth="1"/>
    <col min="1300" max="1300" width="14.77734375" bestFit="1" customWidth="1"/>
    <col min="1537" max="1537" width="10.109375" bestFit="1" customWidth="1"/>
    <col min="1538" max="1538" width="21" bestFit="1" customWidth="1"/>
    <col min="1539" max="1539" width="7" bestFit="1" customWidth="1"/>
    <col min="1540" max="1540" width="16" bestFit="1" customWidth="1"/>
    <col min="1541" max="1541" width="19" bestFit="1" customWidth="1"/>
    <col min="1542" max="1542" width="22.5546875" bestFit="1" customWidth="1"/>
    <col min="1543" max="1543" width="12" customWidth="1"/>
    <col min="1544" max="1544" width="25.88671875" customWidth="1"/>
    <col min="1545" max="1545" width="15.33203125" bestFit="1" customWidth="1"/>
    <col min="1546" max="1546" width="11" customWidth="1"/>
    <col min="1547" max="1547" width="11.109375" customWidth="1"/>
    <col min="1548" max="1548" width="16.44140625" bestFit="1" customWidth="1"/>
    <col min="1549" max="1549" width="16.88671875" customWidth="1"/>
    <col min="1550" max="1550" width="14.5546875" customWidth="1"/>
    <col min="1552" max="1552" width="57.21875" bestFit="1" customWidth="1"/>
    <col min="1553" max="1553" width="17.88671875" customWidth="1"/>
    <col min="1554" max="1554" width="16.5546875" bestFit="1" customWidth="1"/>
    <col min="1555" max="1555" width="14.33203125" bestFit="1" customWidth="1"/>
    <col min="1556" max="1556" width="14.77734375" bestFit="1" customWidth="1"/>
    <col min="1793" max="1793" width="10.109375" bestFit="1" customWidth="1"/>
    <col min="1794" max="1794" width="21" bestFit="1" customWidth="1"/>
    <col min="1795" max="1795" width="7" bestFit="1" customWidth="1"/>
    <col min="1796" max="1796" width="16" bestFit="1" customWidth="1"/>
    <col min="1797" max="1797" width="19" bestFit="1" customWidth="1"/>
    <col min="1798" max="1798" width="22.5546875" bestFit="1" customWidth="1"/>
    <col min="1799" max="1799" width="12" customWidth="1"/>
    <col min="1800" max="1800" width="25.88671875" customWidth="1"/>
    <col min="1801" max="1801" width="15.33203125" bestFit="1" customWidth="1"/>
    <col min="1802" max="1802" width="11" customWidth="1"/>
    <col min="1803" max="1803" width="11.109375" customWidth="1"/>
    <col min="1804" max="1804" width="16.44140625" bestFit="1" customWidth="1"/>
    <col min="1805" max="1805" width="16.88671875" customWidth="1"/>
    <col min="1806" max="1806" width="14.5546875" customWidth="1"/>
    <col min="1808" max="1808" width="57.21875" bestFit="1" customWidth="1"/>
    <col min="1809" max="1809" width="17.88671875" customWidth="1"/>
    <col min="1810" max="1810" width="16.5546875" bestFit="1" customWidth="1"/>
    <col min="1811" max="1811" width="14.33203125" bestFit="1" customWidth="1"/>
    <col min="1812" max="1812" width="14.77734375" bestFit="1" customWidth="1"/>
    <col min="2049" max="2049" width="10.109375" bestFit="1" customWidth="1"/>
    <col min="2050" max="2050" width="21" bestFit="1" customWidth="1"/>
    <col min="2051" max="2051" width="7" bestFit="1" customWidth="1"/>
    <col min="2052" max="2052" width="16" bestFit="1" customWidth="1"/>
    <col min="2053" max="2053" width="19" bestFit="1" customWidth="1"/>
    <col min="2054" max="2054" width="22.5546875" bestFit="1" customWidth="1"/>
    <col min="2055" max="2055" width="12" customWidth="1"/>
    <col min="2056" max="2056" width="25.88671875" customWidth="1"/>
    <col min="2057" max="2057" width="15.33203125" bestFit="1" customWidth="1"/>
    <col min="2058" max="2058" width="11" customWidth="1"/>
    <col min="2059" max="2059" width="11.109375" customWidth="1"/>
    <col min="2060" max="2060" width="16.44140625" bestFit="1" customWidth="1"/>
    <col min="2061" max="2061" width="16.88671875" customWidth="1"/>
    <col min="2062" max="2062" width="14.5546875" customWidth="1"/>
    <col min="2064" max="2064" width="57.21875" bestFit="1" customWidth="1"/>
    <col min="2065" max="2065" width="17.88671875" customWidth="1"/>
    <col min="2066" max="2066" width="16.5546875" bestFit="1" customWidth="1"/>
    <col min="2067" max="2067" width="14.33203125" bestFit="1" customWidth="1"/>
    <col min="2068" max="2068" width="14.77734375" bestFit="1" customWidth="1"/>
    <col min="2305" max="2305" width="10.109375" bestFit="1" customWidth="1"/>
    <col min="2306" max="2306" width="21" bestFit="1" customWidth="1"/>
    <col min="2307" max="2307" width="7" bestFit="1" customWidth="1"/>
    <col min="2308" max="2308" width="16" bestFit="1" customWidth="1"/>
    <col min="2309" max="2309" width="19" bestFit="1" customWidth="1"/>
    <col min="2310" max="2310" width="22.5546875" bestFit="1" customWidth="1"/>
    <col min="2311" max="2311" width="12" customWidth="1"/>
    <col min="2312" max="2312" width="25.88671875" customWidth="1"/>
    <col min="2313" max="2313" width="15.33203125" bestFit="1" customWidth="1"/>
    <col min="2314" max="2314" width="11" customWidth="1"/>
    <col min="2315" max="2315" width="11.109375" customWidth="1"/>
    <col min="2316" max="2316" width="16.44140625" bestFit="1" customWidth="1"/>
    <col min="2317" max="2317" width="16.88671875" customWidth="1"/>
    <col min="2318" max="2318" width="14.5546875" customWidth="1"/>
    <col min="2320" max="2320" width="57.21875" bestFit="1" customWidth="1"/>
    <col min="2321" max="2321" width="17.88671875" customWidth="1"/>
    <col min="2322" max="2322" width="16.5546875" bestFit="1" customWidth="1"/>
    <col min="2323" max="2323" width="14.33203125" bestFit="1" customWidth="1"/>
    <col min="2324" max="2324" width="14.77734375" bestFit="1" customWidth="1"/>
    <col min="2561" max="2561" width="10.109375" bestFit="1" customWidth="1"/>
    <col min="2562" max="2562" width="21" bestFit="1" customWidth="1"/>
    <col min="2563" max="2563" width="7" bestFit="1" customWidth="1"/>
    <col min="2564" max="2564" width="16" bestFit="1" customWidth="1"/>
    <col min="2565" max="2565" width="19" bestFit="1" customWidth="1"/>
    <col min="2566" max="2566" width="22.5546875" bestFit="1" customWidth="1"/>
    <col min="2567" max="2567" width="12" customWidth="1"/>
    <col min="2568" max="2568" width="25.88671875" customWidth="1"/>
    <col min="2569" max="2569" width="15.33203125" bestFit="1" customWidth="1"/>
    <col min="2570" max="2570" width="11" customWidth="1"/>
    <col min="2571" max="2571" width="11.109375" customWidth="1"/>
    <col min="2572" max="2572" width="16.44140625" bestFit="1" customWidth="1"/>
    <col min="2573" max="2573" width="16.88671875" customWidth="1"/>
    <col min="2574" max="2574" width="14.5546875" customWidth="1"/>
    <col min="2576" max="2576" width="57.21875" bestFit="1" customWidth="1"/>
    <col min="2577" max="2577" width="17.88671875" customWidth="1"/>
    <col min="2578" max="2578" width="16.5546875" bestFit="1" customWidth="1"/>
    <col min="2579" max="2579" width="14.33203125" bestFit="1" customWidth="1"/>
    <col min="2580" max="2580" width="14.77734375" bestFit="1" customWidth="1"/>
    <col min="2817" max="2817" width="10.109375" bestFit="1" customWidth="1"/>
    <col min="2818" max="2818" width="21" bestFit="1" customWidth="1"/>
    <col min="2819" max="2819" width="7" bestFit="1" customWidth="1"/>
    <col min="2820" max="2820" width="16" bestFit="1" customWidth="1"/>
    <col min="2821" max="2821" width="19" bestFit="1" customWidth="1"/>
    <col min="2822" max="2822" width="22.5546875" bestFit="1" customWidth="1"/>
    <col min="2823" max="2823" width="12" customWidth="1"/>
    <col min="2824" max="2824" width="25.88671875" customWidth="1"/>
    <col min="2825" max="2825" width="15.33203125" bestFit="1" customWidth="1"/>
    <col min="2826" max="2826" width="11" customWidth="1"/>
    <col min="2827" max="2827" width="11.109375" customWidth="1"/>
    <col min="2828" max="2828" width="16.44140625" bestFit="1" customWidth="1"/>
    <col min="2829" max="2829" width="16.88671875" customWidth="1"/>
    <col min="2830" max="2830" width="14.5546875" customWidth="1"/>
    <col min="2832" max="2832" width="57.21875" bestFit="1" customWidth="1"/>
    <col min="2833" max="2833" width="17.88671875" customWidth="1"/>
    <col min="2834" max="2834" width="16.5546875" bestFit="1" customWidth="1"/>
    <col min="2835" max="2835" width="14.33203125" bestFit="1" customWidth="1"/>
    <col min="2836" max="2836" width="14.77734375" bestFit="1" customWidth="1"/>
    <col min="3073" max="3073" width="10.109375" bestFit="1" customWidth="1"/>
    <col min="3074" max="3074" width="21" bestFit="1" customWidth="1"/>
    <col min="3075" max="3075" width="7" bestFit="1" customWidth="1"/>
    <col min="3076" max="3076" width="16" bestFit="1" customWidth="1"/>
    <col min="3077" max="3077" width="19" bestFit="1" customWidth="1"/>
    <col min="3078" max="3078" width="22.5546875" bestFit="1" customWidth="1"/>
    <col min="3079" max="3079" width="12" customWidth="1"/>
    <col min="3080" max="3080" width="25.88671875" customWidth="1"/>
    <col min="3081" max="3081" width="15.33203125" bestFit="1" customWidth="1"/>
    <col min="3082" max="3082" width="11" customWidth="1"/>
    <col min="3083" max="3083" width="11.109375" customWidth="1"/>
    <col min="3084" max="3084" width="16.44140625" bestFit="1" customWidth="1"/>
    <col min="3085" max="3085" width="16.88671875" customWidth="1"/>
    <col min="3086" max="3086" width="14.5546875" customWidth="1"/>
    <col min="3088" max="3088" width="57.21875" bestFit="1" customWidth="1"/>
    <col min="3089" max="3089" width="17.88671875" customWidth="1"/>
    <col min="3090" max="3090" width="16.5546875" bestFit="1" customWidth="1"/>
    <col min="3091" max="3091" width="14.33203125" bestFit="1" customWidth="1"/>
    <col min="3092" max="3092" width="14.77734375" bestFit="1" customWidth="1"/>
    <col min="3329" max="3329" width="10.109375" bestFit="1" customWidth="1"/>
    <col min="3330" max="3330" width="21" bestFit="1" customWidth="1"/>
    <col min="3331" max="3331" width="7" bestFit="1" customWidth="1"/>
    <col min="3332" max="3332" width="16" bestFit="1" customWidth="1"/>
    <col min="3333" max="3333" width="19" bestFit="1" customWidth="1"/>
    <col min="3334" max="3334" width="22.5546875" bestFit="1" customWidth="1"/>
    <col min="3335" max="3335" width="12" customWidth="1"/>
    <col min="3336" max="3336" width="25.88671875" customWidth="1"/>
    <col min="3337" max="3337" width="15.33203125" bestFit="1" customWidth="1"/>
    <col min="3338" max="3338" width="11" customWidth="1"/>
    <col min="3339" max="3339" width="11.109375" customWidth="1"/>
    <col min="3340" max="3340" width="16.44140625" bestFit="1" customWidth="1"/>
    <col min="3341" max="3341" width="16.88671875" customWidth="1"/>
    <col min="3342" max="3342" width="14.5546875" customWidth="1"/>
    <col min="3344" max="3344" width="57.21875" bestFit="1" customWidth="1"/>
    <col min="3345" max="3345" width="17.88671875" customWidth="1"/>
    <col min="3346" max="3346" width="16.5546875" bestFit="1" customWidth="1"/>
    <col min="3347" max="3347" width="14.33203125" bestFit="1" customWidth="1"/>
    <col min="3348" max="3348" width="14.77734375" bestFit="1" customWidth="1"/>
    <col min="3585" max="3585" width="10.109375" bestFit="1" customWidth="1"/>
    <col min="3586" max="3586" width="21" bestFit="1" customWidth="1"/>
    <col min="3587" max="3587" width="7" bestFit="1" customWidth="1"/>
    <col min="3588" max="3588" width="16" bestFit="1" customWidth="1"/>
    <col min="3589" max="3589" width="19" bestFit="1" customWidth="1"/>
    <col min="3590" max="3590" width="22.5546875" bestFit="1" customWidth="1"/>
    <col min="3591" max="3591" width="12" customWidth="1"/>
    <col min="3592" max="3592" width="25.88671875" customWidth="1"/>
    <col min="3593" max="3593" width="15.33203125" bestFit="1" customWidth="1"/>
    <col min="3594" max="3594" width="11" customWidth="1"/>
    <col min="3595" max="3595" width="11.109375" customWidth="1"/>
    <col min="3596" max="3596" width="16.44140625" bestFit="1" customWidth="1"/>
    <col min="3597" max="3597" width="16.88671875" customWidth="1"/>
    <col min="3598" max="3598" width="14.5546875" customWidth="1"/>
    <col min="3600" max="3600" width="57.21875" bestFit="1" customWidth="1"/>
    <col min="3601" max="3601" width="17.88671875" customWidth="1"/>
    <col min="3602" max="3602" width="16.5546875" bestFit="1" customWidth="1"/>
    <col min="3603" max="3603" width="14.33203125" bestFit="1" customWidth="1"/>
    <col min="3604" max="3604" width="14.77734375" bestFit="1" customWidth="1"/>
    <col min="3841" max="3841" width="10.109375" bestFit="1" customWidth="1"/>
    <col min="3842" max="3842" width="21" bestFit="1" customWidth="1"/>
    <col min="3843" max="3843" width="7" bestFit="1" customWidth="1"/>
    <col min="3844" max="3844" width="16" bestFit="1" customWidth="1"/>
    <col min="3845" max="3845" width="19" bestFit="1" customWidth="1"/>
    <col min="3846" max="3846" width="22.5546875" bestFit="1" customWidth="1"/>
    <col min="3847" max="3847" width="12" customWidth="1"/>
    <col min="3848" max="3848" width="25.88671875" customWidth="1"/>
    <col min="3849" max="3849" width="15.33203125" bestFit="1" customWidth="1"/>
    <col min="3850" max="3850" width="11" customWidth="1"/>
    <col min="3851" max="3851" width="11.109375" customWidth="1"/>
    <col min="3852" max="3852" width="16.44140625" bestFit="1" customWidth="1"/>
    <col min="3853" max="3853" width="16.88671875" customWidth="1"/>
    <col min="3854" max="3854" width="14.5546875" customWidth="1"/>
    <col min="3856" max="3856" width="57.21875" bestFit="1" customWidth="1"/>
    <col min="3857" max="3857" width="17.88671875" customWidth="1"/>
    <col min="3858" max="3858" width="16.5546875" bestFit="1" customWidth="1"/>
    <col min="3859" max="3859" width="14.33203125" bestFit="1" customWidth="1"/>
    <col min="3860" max="3860" width="14.77734375" bestFit="1" customWidth="1"/>
    <col min="4097" max="4097" width="10.109375" bestFit="1" customWidth="1"/>
    <col min="4098" max="4098" width="21" bestFit="1" customWidth="1"/>
    <col min="4099" max="4099" width="7" bestFit="1" customWidth="1"/>
    <col min="4100" max="4100" width="16" bestFit="1" customWidth="1"/>
    <col min="4101" max="4101" width="19" bestFit="1" customWidth="1"/>
    <col min="4102" max="4102" width="22.5546875" bestFit="1" customWidth="1"/>
    <col min="4103" max="4103" width="12" customWidth="1"/>
    <col min="4104" max="4104" width="25.88671875" customWidth="1"/>
    <col min="4105" max="4105" width="15.33203125" bestFit="1" customWidth="1"/>
    <col min="4106" max="4106" width="11" customWidth="1"/>
    <col min="4107" max="4107" width="11.109375" customWidth="1"/>
    <col min="4108" max="4108" width="16.44140625" bestFit="1" customWidth="1"/>
    <col min="4109" max="4109" width="16.88671875" customWidth="1"/>
    <col min="4110" max="4110" width="14.5546875" customWidth="1"/>
    <col min="4112" max="4112" width="57.21875" bestFit="1" customWidth="1"/>
    <col min="4113" max="4113" width="17.88671875" customWidth="1"/>
    <col min="4114" max="4114" width="16.5546875" bestFit="1" customWidth="1"/>
    <col min="4115" max="4115" width="14.33203125" bestFit="1" customWidth="1"/>
    <col min="4116" max="4116" width="14.77734375" bestFit="1" customWidth="1"/>
    <col min="4353" max="4353" width="10.109375" bestFit="1" customWidth="1"/>
    <col min="4354" max="4354" width="21" bestFit="1" customWidth="1"/>
    <col min="4355" max="4355" width="7" bestFit="1" customWidth="1"/>
    <col min="4356" max="4356" width="16" bestFit="1" customWidth="1"/>
    <col min="4357" max="4357" width="19" bestFit="1" customWidth="1"/>
    <col min="4358" max="4358" width="22.5546875" bestFit="1" customWidth="1"/>
    <col min="4359" max="4359" width="12" customWidth="1"/>
    <col min="4360" max="4360" width="25.88671875" customWidth="1"/>
    <col min="4361" max="4361" width="15.33203125" bestFit="1" customWidth="1"/>
    <col min="4362" max="4362" width="11" customWidth="1"/>
    <col min="4363" max="4363" width="11.109375" customWidth="1"/>
    <col min="4364" max="4364" width="16.44140625" bestFit="1" customWidth="1"/>
    <col min="4365" max="4365" width="16.88671875" customWidth="1"/>
    <col min="4366" max="4366" width="14.5546875" customWidth="1"/>
    <col min="4368" max="4368" width="57.21875" bestFit="1" customWidth="1"/>
    <col min="4369" max="4369" width="17.88671875" customWidth="1"/>
    <col min="4370" max="4370" width="16.5546875" bestFit="1" customWidth="1"/>
    <col min="4371" max="4371" width="14.33203125" bestFit="1" customWidth="1"/>
    <col min="4372" max="4372" width="14.77734375" bestFit="1" customWidth="1"/>
    <col min="4609" max="4609" width="10.109375" bestFit="1" customWidth="1"/>
    <col min="4610" max="4610" width="21" bestFit="1" customWidth="1"/>
    <col min="4611" max="4611" width="7" bestFit="1" customWidth="1"/>
    <col min="4612" max="4612" width="16" bestFit="1" customWidth="1"/>
    <col min="4613" max="4613" width="19" bestFit="1" customWidth="1"/>
    <col min="4614" max="4614" width="22.5546875" bestFit="1" customWidth="1"/>
    <col min="4615" max="4615" width="12" customWidth="1"/>
    <col min="4616" max="4616" width="25.88671875" customWidth="1"/>
    <col min="4617" max="4617" width="15.33203125" bestFit="1" customWidth="1"/>
    <col min="4618" max="4618" width="11" customWidth="1"/>
    <col min="4619" max="4619" width="11.109375" customWidth="1"/>
    <col min="4620" max="4620" width="16.44140625" bestFit="1" customWidth="1"/>
    <col min="4621" max="4621" width="16.88671875" customWidth="1"/>
    <col min="4622" max="4622" width="14.5546875" customWidth="1"/>
    <col min="4624" max="4624" width="57.21875" bestFit="1" customWidth="1"/>
    <col min="4625" max="4625" width="17.88671875" customWidth="1"/>
    <col min="4626" max="4626" width="16.5546875" bestFit="1" customWidth="1"/>
    <col min="4627" max="4627" width="14.33203125" bestFit="1" customWidth="1"/>
    <col min="4628" max="4628" width="14.77734375" bestFit="1" customWidth="1"/>
    <col min="4865" max="4865" width="10.109375" bestFit="1" customWidth="1"/>
    <col min="4866" max="4866" width="21" bestFit="1" customWidth="1"/>
    <col min="4867" max="4867" width="7" bestFit="1" customWidth="1"/>
    <col min="4868" max="4868" width="16" bestFit="1" customWidth="1"/>
    <col min="4869" max="4869" width="19" bestFit="1" customWidth="1"/>
    <col min="4870" max="4870" width="22.5546875" bestFit="1" customWidth="1"/>
    <col min="4871" max="4871" width="12" customWidth="1"/>
    <col min="4872" max="4872" width="25.88671875" customWidth="1"/>
    <col min="4873" max="4873" width="15.33203125" bestFit="1" customWidth="1"/>
    <col min="4874" max="4874" width="11" customWidth="1"/>
    <col min="4875" max="4875" width="11.109375" customWidth="1"/>
    <col min="4876" max="4876" width="16.44140625" bestFit="1" customWidth="1"/>
    <col min="4877" max="4877" width="16.88671875" customWidth="1"/>
    <col min="4878" max="4878" width="14.5546875" customWidth="1"/>
    <col min="4880" max="4880" width="57.21875" bestFit="1" customWidth="1"/>
    <col min="4881" max="4881" width="17.88671875" customWidth="1"/>
    <col min="4882" max="4882" width="16.5546875" bestFit="1" customWidth="1"/>
    <col min="4883" max="4883" width="14.33203125" bestFit="1" customWidth="1"/>
    <col min="4884" max="4884" width="14.77734375" bestFit="1" customWidth="1"/>
    <col min="5121" max="5121" width="10.109375" bestFit="1" customWidth="1"/>
    <col min="5122" max="5122" width="21" bestFit="1" customWidth="1"/>
    <col min="5123" max="5123" width="7" bestFit="1" customWidth="1"/>
    <col min="5124" max="5124" width="16" bestFit="1" customWidth="1"/>
    <col min="5125" max="5125" width="19" bestFit="1" customWidth="1"/>
    <col min="5126" max="5126" width="22.5546875" bestFit="1" customWidth="1"/>
    <col min="5127" max="5127" width="12" customWidth="1"/>
    <col min="5128" max="5128" width="25.88671875" customWidth="1"/>
    <col min="5129" max="5129" width="15.33203125" bestFit="1" customWidth="1"/>
    <col min="5130" max="5130" width="11" customWidth="1"/>
    <col min="5131" max="5131" width="11.109375" customWidth="1"/>
    <col min="5132" max="5132" width="16.44140625" bestFit="1" customWidth="1"/>
    <col min="5133" max="5133" width="16.88671875" customWidth="1"/>
    <col min="5134" max="5134" width="14.5546875" customWidth="1"/>
    <col min="5136" max="5136" width="57.21875" bestFit="1" customWidth="1"/>
    <col min="5137" max="5137" width="17.88671875" customWidth="1"/>
    <col min="5138" max="5138" width="16.5546875" bestFit="1" customWidth="1"/>
    <col min="5139" max="5139" width="14.33203125" bestFit="1" customWidth="1"/>
    <col min="5140" max="5140" width="14.77734375" bestFit="1" customWidth="1"/>
    <col min="5377" max="5377" width="10.109375" bestFit="1" customWidth="1"/>
    <col min="5378" max="5378" width="21" bestFit="1" customWidth="1"/>
    <col min="5379" max="5379" width="7" bestFit="1" customWidth="1"/>
    <col min="5380" max="5380" width="16" bestFit="1" customWidth="1"/>
    <col min="5381" max="5381" width="19" bestFit="1" customWidth="1"/>
    <col min="5382" max="5382" width="22.5546875" bestFit="1" customWidth="1"/>
    <col min="5383" max="5383" width="12" customWidth="1"/>
    <col min="5384" max="5384" width="25.88671875" customWidth="1"/>
    <col min="5385" max="5385" width="15.33203125" bestFit="1" customWidth="1"/>
    <col min="5386" max="5386" width="11" customWidth="1"/>
    <col min="5387" max="5387" width="11.109375" customWidth="1"/>
    <col min="5388" max="5388" width="16.44140625" bestFit="1" customWidth="1"/>
    <col min="5389" max="5389" width="16.88671875" customWidth="1"/>
    <col min="5390" max="5390" width="14.5546875" customWidth="1"/>
    <col min="5392" max="5392" width="57.21875" bestFit="1" customWidth="1"/>
    <col min="5393" max="5393" width="17.88671875" customWidth="1"/>
    <col min="5394" max="5394" width="16.5546875" bestFit="1" customWidth="1"/>
    <col min="5395" max="5395" width="14.33203125" bestFit="1" customWidth="1"/>
    <col min="5396" max="5396" width="14.77734375" bestFit="1" customWidth="1"/>
    <col min="5633" max="5633" width="10.109375" bestFit="1" customWidth="1"/>
    <col min="5634" max="5634" width="21" bestFit="1" customWidth="1"/>
    <col min="5635" max="5635" width="7" bestFit="1" customWidth="1"/>
    <col min="5636" max="5636" width="16" bestFit="1" customWidth="1"/>
    <col min="5637" max="5637" width="19" bestFit="1" customWidth="1"/>
    <col min="5638" max="5638" width="22.5546875" bestFit="1" customWidth="1"/>
    <col min="5639" max="5639" width="12" customWidth="1"/>
    <col min="5640" max="5640" width="25.88671875" customWidth="1"/>
    <col min="5641" max="5641" width="15.33203125" bestFit="1" customWidth="1"/>
    <col min="5642" max="5642" width="11" customWidth="1"/>
    <col min="5643" max="5643" width="11.109375" customWidth="1"/>
    <col min="5644" max="5644" width="16.44140625" bestFit="1" customWidth="1"/>
    <col min="5645" max="5645" width="16.88671875" customWidth="1"/>
    <col min="5646" max="5646" width="14.5546875" customWidth="1"/>
    <col min="5648" max="5648" width="57.21875" bestFit="1" customWidth="1"/>
    <col min="5649" max="5649" width="17.88671875" customWidth="1"/>
    <col min="5650" max="5650" width="16.5546875" bestFit="1" customWidth="1"/>
    <col min="5651" max="5651" width="14.33203125" bestFit="1" customWidth="1"/>
    <col min="5652" max="5652" width="14.77734375" bestFit="1" customWidth="1"/>
    <col min="5889" max="5889" width="10.109375" bestFit="1" customWidth="1"/>
    <col min="5890" max="5890" width="21" bestFit="1" customWidth="1"/>
    <col min="5891" max="5891" width="7" bestFit="1" customWidth="1"/>
    <col min="5892" max="5892" width="16" bestFit="1" customWidth="1"/>
    <col min="5893" max="5893" width="19" bestFit="1" customWidth="1"/>
    <col min="5894" max="5894" width="22.5546875" bestFit="1" customWidth="1"/>
    <col min="5895" max="5895" width="12" customWidth="1"/>
    <col min="5896" max="5896" width="25.88671875" customWidth="1"/>
    <col min="5897" max="5897" width="15.33203125" bestFit="1" customWidth="1"/>
    <col min="5898" max="5898" width="11" customWidth="1"/>
    <col min="5899" max="5899" width="11.109375" customWidth="1"/>
    <col min="5900" max="5900" width="16.44140625" bestFit="1" customWidth="1"/>
    <col min="5901" max="5901" width="16.88671875" customWidth="1"/>
    <col min="5902" max="5902" width="14.5546875" customWidth="1"/>
    <col min="5904" max="5904" width="57.21875" bestFit="1" customWidth="1"/>
    <col min="5905" max="5905" width="17.88671875" customWidth="1"/>
    <col min="5906" max="5906" width="16.5546875" bestFit="1" customWidth="1"/>
    <col min="5907" max="5907" width="14.33203125" bestFit="1" customWidth="1"/>
    <col min="5908" max="5908" width="14.77734375" bestFit="1" customWidth="1"/>
    <col min="6145" max="6145" width="10.109375" bestFit="1" customWidth="1"/>
    <col min="6146" max="6146" width="21" bestFit="1" customWidth="1"/>
    <col min="6147" max="6147" width="7" bestFit="1" customWidth="1"/>
    <col min="6148" max="6148" width="16" bestFit="1" customWidth="1"/>
    <col min="6149" max="6149" width="19" bestFit="1" customWidth="1"/>
    <col min="6150" max="6150" width="22.5546875" bestFit="1" customWidth="1"/>
    <col min="6151" max="6151" width="12" customWidth="1"/>
    <col min="6152" max="6152" width="25.88671875" customWidth="1"/>
    <col min="6153" max="6153" width="15.33203125" bestFit="1" customWidth="1"/>
    <col min="6154" max="6154" width="11" customWidth="1"/>
    <col min="6155" max="6155" width="11.109375" customWidth="1"/>
    <col min="6156" max="6156" width="16.44140625" bestFit="1" customWidth="1"/>
    <col min="6157" max="6157" width="16.88671875" customWidth="1"/>
    <col min="6158" max="6158" width="14.5546875" customWidth="1"/>
    <col min="6160" max="6160" width="57.21875" bestFit="1" customWidth="1"/>
    <col min="6161" max="6161" width="17.88671875" customWidth="1"/>
    <col min="6162" max="6162" width="16.5546875" bestFit="1" customWidth="1"/>
    <col min="6163" max="6163" width="14.33203125" bestFit="1" customWidth="1"/>
    <col min="6164" max="6164" width="14.77734375" bestFit="1" customWidth="1"/>
    <col min="6401" max="6401" width="10.109375" bestFit="1" customWidth="1"/>
    <col min="6402" max="6402" width="21" bestFit="1" customWidth="1"/>
    <col min="6403" max="6403" width="7" bestFit="1" customWidth="1"/>
    <col min="6404" max="6404" width="16" bestFit="1" customWidth="1"/>
    <col min="6405" max="6405" width="19" bestFit="1" customWidth="1"/>
    <col min="6406" max="6406" width="22.5546875" bestFit="1" customWidth="1"/>
    <col min="6407" max="6407" width="12" customWidth="1"/>
    <col min="6408" max="6408" width="25.88671875" customWidth="1"/>
    <col min="6409" max="6409" width="15.33203125" bestFit="1" customWidth="1"/>
    <col min="6410" max="6410" width="11" customWidth="1"/>
    <col min="6411" max="6411" width="11.109375" customWidth="1"/>
    <col min="6412" max="6412" width="16.44140625" bestFit="1" customWidth="1"/>
    <col min="6413" max="6413" width="16.88671875" customWidth="1"/>
    <col min="6414" max="6414" width="14.5546875" customWidth="1"/>
    <col min="6416" max="6416" width="57.21875" bestFit="1" customWidth="1"/>
    <col min="6417" max="6417" width="17.88671875" customWidth="1"/>
    <col min="6418" max="6418" width="16.5546875" bestFit="1" customWidth="1"/>
    <col min="6419" max="6419" width="14.33203125" bestFit="1" customWidth="1"/>
    <col min="6420" max="6420" width="14.77734375" bestFit="1" customWidth="1"/>
    <col min="6657" max="6657" width="10.109375" bestFit="1" customWidth="1"/>
    <col min="6658" max="6658" width="21" bestFit="1" customWidth="1"/>
    <col min="6659" max="6659" width="7" bestFit="1" customWidth="1"/>
    <col min="6660" max="6660" width="16" bestFit="1" customWidth="1"/>
    <col min="6661" max="6661" width="19" bestFit="1" customWidth="1"/>
    <col min="6662" max="6662" width="22.5546875" bestFit="1" customWidth="1"/>
    <col min="6663" max="6663" width="12" customWidth="1"/>
    <col min="6664" max="6664" width="25.88671875" customWidth="1"/>
    <col min="6665" max="6665" width="15.33203125" bestFit="1" customWidth="1"/>
    <col min="6666" max="6666" width="11" customWidth="1"/>
    <col min="6667" max="6667" width="11.109375" customWidth="1"/>
    <col min="6668" max="6668" width="16.44140625" bestFit="1" customWidth="1"/>
    <col min="6669" max="6669" width="16.88671875" customWidth="1"/>
    <col min="6670" max="6670" width="14.5546875" customWidth="1"/>
    <col min="6672" max="6672" width="57.21875" bestFit="1" customWidth="1"/>
    <col min="6673" max="6673" width="17.88671875" customWidth="1"/>
    <col min="6674" max="6674" width="16.5546875" bestFit="1" customWidth="1"/>
    <col min="6675" max="6675" width="14.33203125" bestFit="1" customWidth="1"/>
    <col min="6676" max="6676" width="14.77734375" bestFit="1" customWidth="1"/>
    <col min="6913" max="6913" width="10.109375" bestFit="1" customWidth="1"/>
    <col min="6914" max="6914" width="21" bestFit="1" customWidth="1"/>
    <col min="6915" max="6915" width="7" bestFit="1" customWidth="1"/>
    <col min="6916" max="6916" width="16" bestFit="1" customWidth="1"/>
    <col min="6917" max="6917" width="19" bestFit="1" customWidth="1"/>
    <col min="6918" max="6918" width="22.5546875" bestFit="1" customWidth="1"/>
    <col min="6919" max="6919" width="12" customWidth="1"/>
    <col min="6920" max="6920" width="25.88671875" customWidth="1"/>
    <col min="6921" max="6921" width="15.33203125" bestFit="1" customWidth="1"/>
    <col min="6922" max="6922" width="11" customWidth="1"/>
    <col min="6923" max="6923" width="11.109375" customWidth="1"/>
    <col min="6924" max="6924" width="16.44140625" bestFit="1" customWidth="1"/>
    <col min="6925" max="6925" width="16.88671875" customWidth="1"/>
    <col min="6926" max="6926" width="14.5546875" customWidth="1"/>
    <col min="6928" max="6928" width="57.21875" bestFit="1" customWidth="1"/>
    <col min="6929" max="6929" width="17.88671875" customWidth="1"/>
    <col min="6930" max="6930" width="16.5546875" bestFit="1" customWidth="1"/>
    <col min="6931" max="6931" width="14.33203125" bestFit="1" customWidth="1"/>
    <col min="6932" max="6932" width="14.77734375" bestFit="1" customWidth="1"/>
    <col min="7169" max="7169" width="10.109375" bestFit="1" customWidth="1"/>
    <col min="7170" max="7170" width="21" bestFit="1" customWidth="1"/>
    <col min="7171" max="7171" width="7" bestFit="1" customWidth="1"/>
    <col min="7172" max="7172" width="16" bestFit="1" customWidth="1"/>
    <col min="7173" max="7173" width="19" bestFit="1" customWidth="1"/>
    <col min="7174" max="7174" width="22.5546875" bestFit="1" customWidth="1"/>
    <col min="7175" max="7175" width="12" customWidth="1"/>
    <col min="7176" max="7176" width="25.88671875" customWidth="1"/>
    <col min="7177" max="7177" width="15.33203125" bestFit="1" customWidth="1"/>
    <col min="7178" max="7178" width="11" customWidth="1"/>
    <col min="7179" max="7179" width="11.109375" customWidth="1"/>
    <col min="7180" max="7180" width="16.44140625" bestFit="1" customWidth="1"/>
    <col min="7181" max="7181" width="16.88671875" customWidth="1"/>
    <col min="7182" max="7182" width="14.5546875" customWidth="1"/>
    <col min="7184" max="7184" width="57.21875" bestFit="1" customWidth="1"/>
    <col min="7185" max="7185" width="17.88671875" customWidth="1"/>
    <col min="7186" max="7186" width="16.5546875" bestFit="1" customWidth="1"/>
    <col min="7187" max="7187" width="14.33203125" bestFit="1" customWidth="1"/>
    <col min="7188" max="7188" width="14.77734375" bestFit="1" customWidth="1"/>
    <col min="7425" max="7425" width="10.109375" bestFit="1" customWidth="1"/>
    <col min="7426" max="7426" width="21" bestFit="1" customWidth="1"/>
    <col min="7427" max="7427" width="7" bestFit="1" customWidth="1"/>
    <col min="7428" max="7428" width="16" bestFit="1" customWidth="1"/>
    <col min="7429" max="7429" width="19" bestFit="1" customWidth="1"/>
    <col min="7430" max="7430" width="22.5546875" bestFit="1" customWidth="1"/>
    <col min="7431" max="7431" width="12" customWidth="1"/>
    <col min="7432" max="7432" width="25.88671875" customWidth="1"/>
    <col min="7433" max="7433" width="15.33203125" bestFit="1" customWidth="1"/>
    <col min="7434" max="7434" width="11" customWidth="1"/>
    <col min="7435" max="7435" width="11.109375" customWidth="1"/>
    <col min="7436" max="7436" width="16.44140625" bestFit="1" customWidth="1"/>
    <col min="7437" max="7437" width="16.88671875" customWidth="1"/>
    <col min="7438" max="7438" width="14.5546875" customWidth="1"/>
    <col min="7440" max="7440" width="57.21875" bestFit="1" customWidth="1"/>
    <col min="7441" max="7441" width="17.88671875" customWidth="1"/>
    <col min="7442" max="7442" width="16.5546875" bestFit="1" customWidth="1"/>
    <col min="7443" max="7443" width="14.33203125" bestFit="1" customWidth="1"/>
    <col min="7444" max="7444" width="14.77734375" bestFit="1" customWidth="1"/>
    <col min="7681" max="7681" width="10.109375" bestFit="1" customWidth="1"/>
    <col min="7682" max="7682" width="21" bestFit="1" customWidth="1"/>
    <col min="7683" max="7683" width="7" bestFit="1" customWidth="1"/>
    <col min="7684" max="7684" width="16" bestFit="1" customWidth="1"/>
    <col min="7685" max="7685" width="19" bestFit="1" customWidth="1"/>
    <col min="7686" max="7686" width="22.5546875" bestFit="1" customWidth="1"/>
    <col min="7687" max="7687" width="12" customWidth="1"/>
    <col min="7688" max="7688" width="25.88671875" customWidth="1"/>
    <col min="7689" max="7689" width="15.33203125" bestFit="1" customWidth="1"/>
    <col min="7690" max="7690" width="11" customWidth="1"/>
    <col min="7691" max="7691" width="11.109375" customWidth="1"/>
    <col min="7692" max="7692" width="16.44140625" bestFit="1" customWidth="1"/>
    <col min="7693" max="7693" width="16.88671875" customWidth="1"/>
    <col min="7694" max="7694" width="14.5546875" customWidth="1"/>
    <col min="7696" max="7696" width="57.21875" bestFit="1" customWidth="1"/>
    <col min="7697" max="7697" width="17.88671875" customWidth="1"/>
    <col min="7698" max="7698" width="16.5546875" bestFit="1" customWidth="1"/>
    <col min="7699" max="7699" width="14.33203125" bestFit="1" customWidth="1"/>
    <col min="7700" max="7700" width="14.77734375" bestFit="1" customWidth="1"/>
    <col min="7937" max="7937" width="10.109375" bestFit="1" customWidth="1"/>
    <col min="7938" max="7938" width="21" bestFit="1" customWidth="1"/>
    <col min="7939" max="7939" width="7" bestFit="1" customWidth="1"/>
    <col min="7940" max="7940" width="16" bestFit="1" customWidth="1"/>
    <col min="7941" max="7941" width="19" bestFit="1" customWidth="1"/>
    <col min="7942" max="7942" width="22.5546875" bestFit="1" customWidth="1"/>
    <col min="7943" max="7943" width="12" customWidth="1"/>
    <col min="7944" max="7944" width="25.88671875" customWidth="1"/>
    <col min="7945" max="7945" width="15.33203125" bestFit="1" customWidth="1"/>
    <col min="7946" max="7946" width="11" customWidth="1"/>
    <col min="7947" max="7947" width="11.109375" customWidth="1"/>
    <col min="7948" max="7948" width="16.44140625" bestFit="1" customWidth="1"/>
    <col min="7949" max="7949" width="16.88671875" customWidth="1"/>
    <col min="7950" max="7950" width="14.5546875" customWidth="1"/>
    <col min="7952" max="7952" width="57.21875" bestFit="1" customWidth="1"/>
    <col min="7953" max="7953" width="17.88671875" customWidth="1"/>
    <col min="7954" max="7954" width="16.5546875" bestFit="1" customWidth="1"/>
    <col min="7955" max="7955" width="14.33203125" bestFit="1" customWidth="1"/>
    <col min="7956" max="7956" width="14.77734375" bestFit="1" customWidth="1"/>
    <col min="8193" max="8193" width="10.109375" bestFit="1" customWidth="1"/>
    <col min="8194" max="8194" width="21" bestFit="1" customWidth="1"/>
    <col min="8195" max="8195" width="7" bestFit="1" customWidth="1"/>
    <col min="8196" max="8196" width="16" bestFit="1" customWidth="1"/>
    <col min="8197" max="8197" width="19" bestFit="1" customWidth="1"/>
    <col min="8198" max="8198" width="22.5546875" bestFit="1" customWidth="1"/>
    <col min="8199" max="8199" width="12" customWidth="1"/>
    <col min="8200" max="8200" width="25.88671875" customWidth="1"/>
    <col min="8201" max="8201" width="15.33203125" bestFit="1" customWidth="1"/>
    <col min="8202" max="8202" width="11" customWidth="1"/>
    <col min="8203" max="8203" width="11.109375" customWidth="1"/>
    <col min="8204" max="8204" width="16.44140625" bestFit="1" customWidth="1"/>
    <col min="8205" max="8205" width="16.88671875" customWidth="1"/>
    <col min="8206" max="8206" width="14.5546875" customWidth="1"/>
    <col min="8208" max="8208" width="57.21875" bestFit="1" customWidth="1"/>
    <col min="8209" max="8209" width="17.88671875" customWidth="1"/>
    <col min="8210" max="8210" width="16.5546875" bestFit="1" customWidth="1"/>
    <col min="8211" max="8211" width="14.33203125" bestFit="1" customWidth="1"/>
    <col min="8212" max="8212" width="14.77734375" bestFit="1" customWidth="1"/>
    <col min="8449" max="8449" width="10.109375" bestFit="1" customWidth="1"/>
    <col min="8450" max="8450" width="21" bestFit="1" customWidth="1"/>
    <col min="8451" max="8451" width="7" bestFit="1" customWidth="1"/>
    <col min="8452" max="8452" width="16" bestFit="1" customWidth="1"/>
    <col min="8453" max="8453" width="19" bestFit="1" customWidth="1"/>
    <col min="8454" max="8454" width="22.5546875" bestFit="1" customWidth="1"/>
    <col min="8455" max="8455" width="12" customWidth="1"/>
    <col min="8456" max="8456" width="25.88671875" customWidth="1"/>
    <col min="8457" max="8457" width="15.33203125" bestFit="1" customWidth="1"/>
    <col min="8458" max="8458" width="11" customWidth="1"/>
    <col min="8459" max="8459" width="11.109375" customWidth="1"/>
    <col min="8460" max="8460" width="16.44140625" bestFit="1" customWidth="1"/>
    <col min="8461" max="8461" width="16.88671875" customWidth="1"/>
    <col min="8462" max="8462" width="14.5546875" customWidth="1"/>
    <col min="8464" max="8464" width="57.21875" bestFit="1" customWidth="1"/>
    <col min="8465" max="8465" width="17.88671875" customWidth="1"/>
    <col min="8466" max="8466" width="16.5546875" bestFit="1" customWidth="1"/>
    <col min="8467" max="8467" width="14.33203125" bestFit="1" customWidth="1"/>
    <col min="8468" max="8468" width="14.77734375" bestFit="1" customWidth="1"/>
    <col min="8705" max="8705" width="10.109375" bestFit="1" customWidth="1"/>
    <col min="8706" max="8706" width="21" bestFit="1" customWidth="1"/>
    <col min="8707" max="8707" width="7" bestFit="1" customWidth="1"/>
    <col min="8708" max="8708" width="16" bestFit="1" customWidth="1"/>
    <col min="8709" max="8709" width="19" bestFit="1" customWidth="1"/>
    <col min="8710" max="8710" width="22.5546875" bestFit="1" customWidth="1"/>
    <col min="8711" max="8711" width="12" customWidth="1"/>
    <col min="8712" max="8712" width="25.88671875" customWidth="1"/>
    <col min="8713" max="8713" width="15.33203125" bestFit="1" customWidth="1"/>
    <col min="8714" max="8714" width="11" customWidth="1"/>
    <col min="8715" max="8715" width="11.109375" customWidth="1"/>
    <col min="8716" max="8716" width="16.44140625" bestFit="1" customWidth="1"/>
    <col min="8717" max="8717" width="16.88671875" customWidth="1"/>
    <col min="8718" max="8718" width="14.5546875" customWidth="1"/>
    <col min="8720" max="8720" width="57.21875" bestFit="1" customWidth="1"/>
    <col min="8721" max="8721" width="17.88671875" customWidth="1"/>
    <col min="8722" max="8722" width="16.5546875" bestFit="1" customWidth="1"/>
    <col min="8723" max="8723" width="14.33203125" bestFit="1" customWidth="1"/>
    <col min="8724" max="8724" width="14.77734375" bestFit="1" customWidth="1"/>
    <col min="8961" max="8961" width="10.109375" bestFit="1" customWidth="1"/>
    <col min="8962" max="8962" width="21" bestFit="1" customWidth="1"/>
    <col min="8963" max="8963" width="7" bestFit="1" customWidth="1"/>
    <col min="8964" max="8964" width="16" bestFit="1" customWidth="1"/>
    <col min="8965" max="8965" width="19" bestFit="1" customWidth="1"/>
    <col min="8966" max="8966" width="22.5546875" bestFit="1" customWidth="1"/>
    <col min="8967" max="8967" width="12" customWidth="1"/>
    <col min="8968" max="8968" width="25.88671875" customWidth="1"/>
    <col min="8969" max="8969" width="15.33203125" bestFit="1" customWidth="1"/>
    <col min="8970" max="8970" width="11" customWidth="1"/>
    <col min="8971" max="8971" width="11.109375" customWidth="1"/>
    <col min="8972" max="8972" width="16.44140625" bestFit="1" customWidth="1"/>
    <col min="8973" max="8973" width="16.88671875" customWidth="1"/>
    <col min="8974" max="8974" width="14.5546875" customWidth="1"/>
    <col min="8976" max="8976" width="57.21875" bestFit="1" customWidth="1"/>
    <col min="8977" max="8977" width="17.88671875" customWidth="1"/>
    <col min="8978" max="8978" width="16.5546875" bestFit="1" customWidth="1"/>
    <col min="8979" max="8979" width="14.33203125" bestFit="1" customWidth="1"/>
    <col min="8980" max="8980" width="14.77734375" bestFit="1" customWidth="1"/>
    <col min="9217" max="9217" width="10.109375" bestFit="1" customWidth="1"/>
    <col min="9218" max="9218" width="21" bestFit="1" customWidth="1"/>
    <col min="9219" max="9219" width="7" bestFit="1" customWidth="1"/>
    <col min="9220" max="9220" width="16" bestFit="1" customWidth="1"/>
    <col min="9221" max="9221" width="19" bestFit="1" customWidth="1"/>
    <col min="9222" max="9222" width="22.5546875" bestFit="1" customWidth="1"/>
    <col min="9223" max="9223" width="12" customWidth="1"/>
    <col min="9224" max="9224" width="25.88671875" customWidth="1"/>
    <col min="9225" max="9225" width="15.33203125" bestFit="1" customWidth="1"/>
    <col min="9226" max="9226" width="11" customWidth="1"/>
    <col min="9227" max="9227" width="11.109375" customWidth="1"/>
    <col min="9228" max="9228" width="16.44140625" bestFit="1" customWidth="1"/>
    <col min="9229" max="9229" width="16.88671875" customWidth="1"/>
    <col min="9230" max="9230" width="14.5546875" customWidth="1"/>
    <col min="9232" max="9232" width="57.21875" bestFit="1" customWidth="1"/>
    <col min="9233" max="9233" width="17.88671875" customWidth="1"/>
    <col min="9234" max="9234" width="16.5546875" bestFit="1" customWidth="1"/>
    <col min="9235" max="9235" width="14.33203125" bestFit="1" customWidth="1"/>
    <col min="9236" max="9236" width="14.77734375" bestFit="1" customWidth="1"/>
    <col min="9473" max="9473" width="10.109375" bestFit="1" customWidth="1"/>
    <col min="9474" max="9474" width="21" bestFit="1" customWidth="1"/>
    <col min="9475" max="9475" width="7" bestFit="1" customWidth="1"/>
    <col min="9476" max="9476" width="16" bestFit="1" customWidth="1"/>
    <col min="9477" max="9477" width="19" bestFit="1" customWidth="1"/>
    <col min="9478" max="9478" width="22.5546875" bestFit="1" customWidth="1"/>
    <col min="9479" max="9479" width="12" customWidth="1"/>
    <col min="9480" max="9480" width="25.88671875" customWidth="1"/>
    <col min="9481" max="9481" width="15.33203125" bestFit="1" customWidth="1"/>
    <col min="9482" max="9482" width="11" customWidth="1"/>
    <col min="9483" max="9483" width="11.109375" customWidth="1"/>
    <col min="9484" max="9484" width="16.44140625" bestFit="1" customWidth="1"/>
    <col min="9485" max="9485" width="16.88671875" customWidth="1"/>
    <col min="9486" max="9486" width="14.5546875" customWidth="1"/>
    <col min="9488" max="9488" width="57.21875" bestFit="1" customWidth="1"/>
    <col min="9489" max="9489" width="17.88671875" customWidth="1"/>
    <col min="9490" max="9490" width="16.5546875" bestFit="1" customWidth="1"/>
    <col min="9491" max="9491" width="14.33203125" bestFit="1" customWidth="1"/>
    <col min="9492" max="9492" width="14.77734375" bestFit="1" customWidth="1"/>
    <col min="9729" max="9729" width="10.109375" bestFit="1" customWidth="1"/>
    <col min="9730" max="9730" width="21" bestFit="1" customWidth="1"/>
    <col min="9731" max="9731" width="7" bestFit="1" customWidth="1"/>
    <col min="9732" max="9732" width="16" bestFit="1" customWidth="1"/>
    <col min="9733" max="9733" width="19" bestFit="1" customWidth="1"/>
    <col min="9734" max="9734" width="22.5546875" bestFit="1" customWidth="1"/>
    <col min="9735" max="9735" width="12" customWidth="1"/>
    <col min="9736" max="9736" width="25.88671875" customWidth="1"/>
    <col min="9737" max="9737" width="15.33203125" bestFit="1" customWidth="1"/>
    <col min="9738" max="9738" width="11" customWidth="1"/>
    <col min="9739" max="9739" width="11.109375" customWidth="1"/>
    <col min="9740" max="9740" width="16.44140625" bestFit="1" customWidth="1"/>
    <col min="9741" max="9741" width="16.88671875" customWidth="1"/>
    <col min="9742" max="9742" width="14.5546875" customWidth="1"/>
    <col min="9744" max="9744" width="57.21875" bestFit="1" customWidth="1"/>
    <col min="9745" max="9745" width="17.88671875" customWidth="1"/>
    <col min="9746" max="9746" width="16.5546875" bestFit="1" customWidth="1"/>
    <col min="9747" max="9747" width="14.33203125" bestFit="1" customWidth="1"/>
    <col min="9748" max="9748" width="14.77734375" bestFit="1" customWidth="1"/>
    <col min="9985" max="9985" width="10.109375" bestFit="1" customWidth="1"/>
    <col min="9986" max="9986" width="21" bestFit="1" customWidth="1"/>
    <col min="9987" max="9987" width="7" bestFit="1" customWidth="1"/>
    <col min="9988" max="9988" width="16" bestFit="1" customWidth="1"/>
    <col min="9989" max="9989" width="19" bestFit="1" customWidth="1"/>
    <col min="9990" max="9990" width="22.5546875" bestFit="1" customWidth="1"/>
    <col min="9991" max="9991" width="12" customWidth="1"/>
    <col min="9992" max="9992" width="25.88671875" customWidth="1"/>
    <col min="9993" max="9993" width="15.33203125" bestFit="1" customWidth="1"/>
    <col min="9994" max="9994" width="11" customWidth="1"/>
    <col min="9995" max="9995" width="11.109375" customWidth="1"/>
    <col min="9996" max="9996" width="16.44140625" bestFit="1" customWidth="1"/>
    <col min="9997" max="9997" width="16.88671875" customWidth="1"/>
    <col min="9998" max="9998" width="14.5546875" customWidth="1"/>
    <col min="10000" max="10000" width="57.21875" bestFit="1" customWidth="1"/>
    <col min="10001" max="10001" width="17.88671875" customWidth="1"/>
    <col min="10002" max="10002" width="16.5546875" bestFit="1" customWidth="1"/>
    <col min="10003" max="10003" width="14.33203125" bestFit="1" customWidth="1"/>
    <col min="10004" max="10004" width="14.77734375" bestFit="1" customWidth="1"/>
    <col min="10241" max="10241" width="10.109375" bestFit="1" customWidth="1"/>
    <col min="10242" max="10242" width="21" bestFit="1" customWidth="1"/>
    <col min="10243" max="10243" width="7" bestFit="1" customWidth="1"/>
    <col min="10244" max="10244" width="16" bestFit="1" customWidth="1"/>
    <col min="10245" max="10245" width="19" bestFit="1" customWidth="1"/>
    <col min="10246" max="10246" width="22.5546875" bestFit="1" customWidth="1"/>
    <col min="10247" max="10247" width="12" customWidth="1"/>
    <col min="10248" max="10248" width="25.88671875" customWidth="1"/>
    <col min="10249" max="10249" width="15.33203125" bestFit="1" customWidth="1"/>
    <col min="10250" max="10250" width="11" customWidth="1"/>
    <col min="10251" max="10251" width="11.109375" customWidth="1"/>
    <col min="10252" max="10252" width="16.44140625" bestFit="1" customWidth="1"/>
    <col min="10253" max="10253" width="16.88671875" customWidth="1"/>
    <col min="10254" max="10254" width="14.5546875" customWidth="1"/>
    <col min="10256" max="10256" width="57.21875" bestFit="1" customWidth="1"/>
    <col min="10257" max="10257" width="17.88671875" customWidth="1"/>
    <col min="10258" max="10258" width="16.5546875" bestFit="1" customWidth="1"/>
    <col min="10259" max="10259" width="14.33203125" bestFit="1" customWidth="1"/>
    <col min="10260" max="10260" width="14.77734375" bestFit="1" customWidth="1"/>
    <col min="10497" max="10497" width="10.109375" bestFit="1" customWidth="1"/>
    <col min="10498" max="10498" width="21" bestFit="1" customWidth="1"/>
    <col min="10499" max="10499" width="7" bestFit="1" customWidth="1"/>
    <col min="10500" max="10500" width="16" bestFit="1" customWidth="1"/>
    <col min="10501" max="10501" width="19" bestFit="1" customWidth="1"/>
    <col min="10502" max="10502" width="22.5546875" bestFit="1" customWidth="1"/>
    <col min="10503" max="10503" width="12" customWidth="1"/>
    <col min="10504" max="10504" width="25.88671875" customWidth="1"/>
    <col min="10505" max="10505" width="15.33203125" bestFit="1" customWidth="1"/>
    <col min="10506" max="10506" width="11" customWidth="1"/>
    <col min="10507" max="10507" width="11.109375" customWidth="1"/>
    <col min="10508" max="10508" width="16.44140625" bestFit="1" customWidth="1"/>
    <col min="10509" max="10509" width="16.88671875" customWidth="1"/>
    <col min="10510" max="10510" width="14.5546875" customWidth="1"/>
    <col min="10512" max="10512" width="57.21875" bestFit="1" customWidth="1"/>
    <col min="10513" max="10513" width="17.88671875" customWidth="1"/>
    <col min="10514" max="10514" width="16.5546875" bestFit="1" customWidth="1"/>
    <col min="10515" max="10515" width="14.33203125" bestFit="1" customWidth="1"/>
    <col min="10516" max="10516" width="14.77734375" bestFit="1" customWidth="1"/>
    <col min="10753" max="10753" width="10.109375" bestFit="1" customWidth="1"/>
    <col min="10754" max="10754" width="21" bestFit="1" customWidth="1"/>
    <col min="10755" max="10755" width="7" bestFit="1" customWidth="1"/>
    <col min="10756" max="10756" width="16" bestFit="1" customWidth="1"/>
    <col min="10757" max="10757" width="19" bestFit="1" customWidth="1"/>
    <col min="10758" max="10758" width="22.5546875" bestFit="1" customWidth="1"/>
    <col min="10759" max="10759" width="12" customWidth="1"/>
    <col min="10760" max="10760" width="25.88671875" customWidth="1"/>
    <col min="10761" max="10761" width="15.33203125" bestFit="1" customWidth="1"/>
    <col min="10762" max="10762" width="11" customWidth="1"/>
    <col min="10763" max="10763" width="11.109375" customWidth="1"/>
    <col min="10764" max="10764" width="16.44140625" bestFit="1" customWidth="1"/>
    <col min="10765" max="10765" width="16.88671875" customWidth="1"/>
    <col min="10766" max="10766" width="14.5546875" customWidth="1"/>
    <col min="10768" max="10768" width="57.21875" bestFit="1" customWidth="1"/>
    <col min="10769" max="10769" width="17.88671875" customWidth="1"/>
    <col min="10770" max="10770" width="16.5546875" bestFit="1" customWidth="1"/>
    <col min="10771" max="10771" width="14.33203125" bestFit="1" customWidth="1"/>
    <col min="10772" max="10772" width="14.77734375" bestFit="1" customWidth="1"/>
    <col min="11009" max="11009" width="10.109375" bestFit="1" customWidth="1"/>
    <col min="11010" max="11010" width="21" bestFit="1" customWidth="1"/>
    <col min="11011" max="11011" width="7" bestFit="1" customWidth="1"/>
    <col min="11012" max="11012" width="16" bestFit="1" customWidth="1"/>
    <col min="11013" max="11013" width="19" bestFit="1" customWidth="1"/>
    <col min="11014" max="11014" width="22.5546875" bestFit="1" customWidth="1"/>
    <col min="11015" max="11015" width="12" customWidth="1"/>
    <col min="11016" max="11016" width="25.88671875" customWidth="1"/>
    <col min="11017" max="11017" width="15.33203125" bestFit="1" customWidth="1"/>
    <col min="11018" max="11018" width="11" customWidth="1"/>
    <col min="11019" max="11019" width="11.109375" customWidth="1"/>
    <col min="11020" max="11020" width="16.44140625" bestFit="1" customWidth="1"/>
    <col min="11021" max="11021" width="16.88671875" customWidth="1"/>
    <col min="11022" max="11022" width="14.5546875" customWidth="1"/>
    <col min="11024" max="11024" width="57.21875" bestFit="1" customWidth="1"/>
    <col min="11025" max="11025" width="17.88671875" customWidth="1"/>
    <col min="11026" max="11026" width="16.5546875" bestFit="1" customWidth="1"/>
    <col min="11027" max="11027" width="14.33203125" bestFit="1" customWidth="1"/>
    <col min="11028" max="11028" width="14.77734375" bestFit="1" customWidth="1"/>
    <col min="11265" max="11265" width="10.109375" bestFit="1" customWidth="1"/>
    <col min="11266" max="11266" width="21" bestFit="1" customWidth="1"/>
    <col min="11267" max="11267" width="7" bestFit="1" customWidth="1"/>
    <col min="11268" max="11268" width="16" bestFit="1" customWidth="1"/>
    <col min="11269" max="11269" width="19" bestFit="1" customWidth="1"/>
    <col min="11270" max="11270" width="22.5546875" bestFit="1" customWidth="1"/>
    <col min="11271" max="11271" width="12" customWidth="1"/>
    <col min="11272" max="11272" width="25.88671875" customWidth="1"/>
    <col min="11273" max="11273" width="15.33203125" bestFit="1" customWidth="1"/>
    <col min="11274" max="11274" width="11" customWidth="1"/>
    <col min="11275" max="11275" width="11.109375" customWidth="1"/>
    <col min="11276" max="11276" width="16.44140625" bestFit="1" customWidth="1"/>
    <col min="11277" max="11277" width="16.88671875" customWidth="1"/>
    <col min="11278" max="11278" width="14.5546875" customWidth="1"/>
    <col min="11280" max="11280" width="57.21875" bestFit="1" customWidth="1"/>
    <col min="11281" max="11281" width="17.88671875" customWidth="1"/>
    <col min="11282" max="11282" width="16.5546875" bestFit="1" customWidth="1"/>
    <col min="11283" max="11283" width="14.33203125" bestFit="1" customWidth="1"/>
    <col min="11284" max="11284" width="14.77734375" bestFit="1" customWidth="1"/>
    <col min="11521" max="11521" width="10.109375" bestFit="1" customWidth="1"/>
    <col min="11522" max="11522" width="21" bestFit="1" customWidth="1"/>
    <col min="11523" max="11523" width="7" bestFit="1" customWidth="1"/>
    <col min="11524" max="11524" width="16" bestFit="1" customWidth="1"/>
    <col min="11525" max="11525" width="19" bestFit="1" customWidth="1"/>
    <col min="11526" max="11526" width="22.5546875" bestFit="1" customWidth="1"/>
    <col min="11527" max="11527" width="12" customWidth="1"/>
    <col min="11528" max="11528" width="25.88671875" customWidth="1"/>
    <col min="11529" max="11529" width="15.33203125" bestFit="1" customWidth="1"/>
    <col min="11530" max="11530" width="11" customWidth="1"/>
    <col min="11531" max="11531" width="11.109375" customWidth="1"/>
    <col min="11532" max="11532" width="16.44140625" bestFit="1" customWidth="1"/>
    <col min="11533" max="11533" width="16.88671875" customWidth="1"/>
    <col min="11534" max="11534" width="14.5546875" customWidth="1"/>
    <col min="11536" max="11536" width="57.21875" bestFit="1" customWidth="1"/>
    <col min="11537" max="11537" width="17.88671875" customWidth="1"/>
    <col min="11538" max="11538" width="16.5546875" bestFit="1" customWidth="1"/>
    <col min="11539" max="11539" width="14.33203125" bestFit="1" customWidth="1"/>
    <col min="11540" max="11540" width="14.77734375" bestFit="1" customWidth="1"/>
    <col min="11777" max="11777" width="10.109375" bestFit="1" customWidth="1"/>
    <col min="11778" max="11778" width="21" bestFit="1" customWidth="1"/>
    <col min="11779" max="11779" width="7" bestFit="1" customWidth="1"/>
    <col min="11780" max="11780" width="16" bestFit="1" customWidth="1"/>
    <col min="11781" max="11781" width="19" bestFit="1" customWidth="1"/>
    <col min="11782" max="11782" width="22.5546875" bestFit="1" customWidth="1"/>
    <col min="11783" max="11783" width="12" customWidth="1"/>
    <col min="11784" max="11784" width="25.88671875" customWidth="1"/>
    <col min="11785" max="11785" width="15.33203125" bestFit="1" customWidth="1"/>
    <col min="11786" max="11786" width="11" customWidth="1"/>
    <col min="11787" max="11787" width="11.109375" customWidth="1"/>
    <col min="11788" max="11788" width="16.44140625" bestFit="1" customWidth="1"/>
    <col min="11789" max="11789" width="16.88671875" customWidth="1"/>
    <col min="11790" max="11790" width="14.5546875" customWidth="1"/>
    <col min="11792" max="11792" width="57.21875" bestFit="1" customWidth="1"/>
    <col min="11793" max="11793" width="17.88671875" customWidth="1"/>
    <col min="11794" max="11794" width="16.5546875" bestFit="1" customWidth="1"/>
    <col min="11795" max="11795" width="14.33203125" bestFit="1" customWidth="1"/>
    <col min="11796" max="11796" width="14.77734375" bestFit="1" customWidth="1"/>
    <col min="12033" max="12033" width="10.109375" bestFit="1" customWidth="1"/>
    <col min="12034" max="12034" width="21" bestFit="1" customWidth="1"/>
    <col min="12035" max="12035" width="7" bestFit="1" customWidth="1"/>
    <col min="12036" max="12036" width="16" bestFit="1" customWidth="1"/>
    <col min="12037" max="12037" width="19" bestFit="1" customWidth="1"/>
    <col min="12038" max="12038" width="22.5546875" bestFit="1" customWidth="1"/>
    <col min="12039" max="12039" width="12" customWidth="1"/>
    <col min="12040" max="12040" width="25.88671875" customWidth="1"/>
    <col min="12041" max="12041" width="15.33203125" bestFit="1" customWidth="1"/>
    <col min="12042" max="12042" width="11" customWidth="1"/>
    <col min="12043" max="12043" width="11.109375" customWidth="1"/>
    <col min="12044" max="12044" width="16.44140625" bestFit="1" customWidth="1"/>
    <col min="12045" max="12045" width="16.88671875" customWidth="1"/>
    <col min="12046" max="12046" width="14.5546875" customWidth="1"/>
    <col min="12048" max="12048" width="57.21875" bestFit="1" customWidth="1"/>
    <col min="12049" max="12049" width="17.88671875" customWidth="1"/>
    <col min="12050" max="12050" width="16.5546875" bestFit="1" customWidth="1"/>
    <col min="12051" max="12051" width="14.33203125" bestFit="1" customWidth="1"/>
    <col min="12052" max="12052" width="14.77734375" bestFit="1" customWidth="1"/>
    <col min="12289" max="12289" width="10.109375" bestFit="1" customWidth="1"/>
    <col min="12290" max="12290" width="21" bestFit="1" customWidth="1"/>
    <col min="12291" max="12291" width="7" bestFit="1" customWidth="1"/>
    <col min="12292" max="12292" width="16" bestFit="1" customWidth="1"/>
    <col min="12293" max="12293" width="19" bestFit="1" customWidth="1"/>
    <col min="12294" max="12294" width="22.5546875" bestFit="1" customWidth="1"/>
    <col min="12295" max="12295" width="12" customWidth="1"/>
    <col min="12296" max="12296" width="25.88671875" customWidth="1"/>
    <col min="12297" max="12297" width="15.33203125" bestFit="1" customWidth="1"/>
    <col min="12298" max="12298" width="11" customWidth="1"/>
    <col min="12299" max="12299" width="11.109375" customWidth="1"/>
    <col min="12300" max="12300" width="16.44140625" bestFit="1" customWidth="1"/>
    <col min="12301" max="12301" width="16.88671875" customWidth="1"/>
    <col min="12302" max="12302" width="14.5546875" customWidth="1"/>
    <col min="12304" max="12304" width="57.21875" bestFit="1" customWidth="1"/>
    <col min="12305" max="12305" width="17.88671875" customWidth="1"/>
    <col min="12306" max="12306" width="16.5546875" bestFit="1" customWidth="1"/>
    <col min="12307" max="12307" width="14.33203125" bestFit="1" customWidth="1"/>
    <col min="12308" max="12308" width="14.77734375" bestFit="1" customWidth="1"/>
    <col min="12545" max="12545" width="10.109375" bestFit="1" customWidth="1"/>
    <col min="12546" max="12546" width="21" bestFit="1" customWidth="1"/>
    <col min="12547" max="12547" width="7" bestFit="1" customWidth="1"/>
    <col min="12548" max="12548" width="16" bestFit="1" customWidth="1"/>
    <col min="12549" max="12549" width="19" bestFit="1" customWidth="1"/>
    <col min="12550" max="12550" width="22.5546875" bestFit="1" customWidth="1"/>
    <col min="12551" max="12551" width="12" customWidth="1"/>
    <col min="12552" max="12552" width="25.88671875" customWidth="1"/>
    <col min="12553" max="12553" width="15.33203125" bestFit="1" customWidth="1"/>
    <col min="12554" max="12554" width="11" customWidth="1"/>
    <col min="12555" max="12555" width="11.109375" customWidth="1"/>
    <col min="12556" max="12556" width="16.44140625" bestFit="1" customWidth="1"/>
    <col min="12557" max="12557" width="16.88671875" customWidth="1"/>
    <col min="12558" max="12558" width="14.5546875" customWidth="1"/>
    <col min="12560" max="12560" width="57.21875" bestFit="1" customWidth="1"/>
    <col min="12561" max="12561" width="17.88671875" customWidth="1"/>
    <col min="12562" max="12562" width="16.5546875" bestFit="1" customWidth="1"/>
    <col min="12563" max="12563" width="14.33203125" bestFit="1" customWidth="1"/>
    <col min="12564" max="12564" width="14.77734375" bestFit="1" customWidth="1"/>
    <col min="12801" max="12801" width="10.109375" bestFit="1" customWidth="1"/>
    <col min="12802" max="12802" width="21" bestFit="1" customWidth="1"/>
    <col min="12803" max="12803" width="7" bestFit="1" customWidth="1"/>
    <col min="12804" max="12804" width="16" bestFit="1" customWidth="1"/>
    <col min="12805" max="12805" width="19" bestFit="1" customWidth="1"/>
    <col min="12806" max="12806" width="22.5546875" bestFit="1" customWidth="1"/>
    <col min="12807" max="12807" width="12" customWidth="1"/>
    <col min="12808" max="12808" width="25.88671875" customWidth="1"/>
    <col min="12809" max="12809" width="15.33203125" bestFit="1" customWidth="1"/>
    <col min="12810" max="12810" width="11" customWidth="1"/>
    <col min="12811" max="12811" width="11.109375" customWidth="1"/>
    <col min="12812" max="12812" width="16.44140625" bestFit="1" customWidth="1"/>
    <col min="12813" max="12813" width="16.88671875" customWidth="1"/>
    <col min="12814" max="12814" width="14.5546875" customWidth="1"/>
    <col min="12816" max="12816" width="57.21875" bestFit="1" customWidth="1"/>
    <col min="12817" max="12817" width="17.88671875" customWidth="1"/>
    <col min="12818" max="12818" width="16.5546875" bestFit="1" customWidth="1"/>
    <col min="12819" max="12819" width="14.33203125" bestFit="1" customWidth="1"/>
    <col min="12820" max="12820" width="14.77734375" bestFit="1" customWidth="1"/>
    <col min="13057" max="13057" width="10.109375" bestFit="1" customWidth="1"/>
    <col min="13058" max="13058" width="21" bestFit="1" customWidth="1"/>
    <col min="13059" max="13059" width="7" bestFit="1" customWidth="1"/>
    <col min="13060" max="13060" width="16" bestFit="1" customWidth="1"/>
    <col min="13061" max="13061" width="19" bestFit="1" customWidth="1"/>
    <col min="13062" max="13062" width="22.5546875" bestFit="1" customWidth="1"/>
    <col min="13063" max="13063" width="12" customWidth="1"/>
    <col min="13064" max="13064" width="25.88671875" customWidth="1"/>
    <col min="13065" max="13065" width="15.33203125" bestFit="1" customWidth="1"/>
    <col min="13066" max="13066" width="11" customWidth="1"/>
    <col min="13067" max="13067" width="11.109375" customWidth="1"/>
    <col min="13068" max="13068" width="16.44140625" bestFit="1" customWidth="1"/>
    <col min="13069" max="13069" width="16.88671875" customWidth="1"/>
    <col min="13070" max="13070" width="14.5546875" customWidth="1"/>
    <col min="13072" max="13072" width="57.21875" bestFit="1" customWidth="1"/>
    <col min="13073" max="13073" width="17.88671875" customWidth="1"/>
    <col min="13074" max="13074" width="16.5546875" bestFit="1" customWidth="1"/>
    <col min="13075" max="13075" width="14.33203125" bestFit="1" customWidth="1"/>
    <col min="13076" max="13076" width="14.77734375" bestFit="1" customWidth="1"/>
    <col min="13313" max="13313" width="10.109375" bestFit="1" customWidth="1"/>
    <col min="13314" max="13314" width="21" bestFit="1" customWidth="1"/>
    <col min="13315" max="13315" width="7" bestFit="1" customWidth="1"/>
    <col min="13316" max="13316" width="16" bestFit="1" customWidth="1"/>
    <col min="13317" max="13317" width="19" bestFit="1" customWidth="1"/>
    <col min="13318" max="13318" width="22.5546875" bestFit="1" customWidth="1"/>
    <col min="13319" max="13319" width="12" customWidth="1"/>
    <col min="13320" max="13320" width="25.88671875" customWidth="1"/>
    <col min="13321" max="13321" width="15.33203125" bestFit="1" customWidth="1"/>
    <col min="13322" max="13322" width="11" customWidth="1"/>
    <col min="13323" max="13323" width="11.109375" customWidth="1"/>
    <col min="13324" max="13324" width="16.44140625" bestFit="1" customWidth="1"/>
    <col min="13325" max="13325" width="16.88671875" customWidth="1"/>
    <col min="13326" max="13326" width="14.5546875" customWidth="1"/>
    <col min="13328" max="13328" width="57.21875" bestFit="1" customWidth="1"/>
    <col min="13329" max="13329" width="17.88671875" customWidth="1"/>
    <col min="13330" max="13330" width="16.5546875" bestFit="1" customWidth="1"/>
    <col min="13331" max="13331" width="14.33203125" bestFit="1" customWidth="1"/>
    <col min="13332" max="13332" width="14.77734375" bestFit="1" customWidth="1"/>
    <col min="13569" max="13569" width="10.109375" bestFit="1" customWidth="1"/>
    <col min="13570" max="13570" width="21" bestFit="1" customWidth="1"/>
    <col min="13571" max="13571" width="7" bestFit="1" customWidth="1"/>
    <col min="13572" max="13572" width="16" bestFit="1" customWidth="1"/>
    <col min="13573" max="13573" width="19" bestFit="1" customWidth="1"/>
    <col min="13574" max="13574" width="22.5546875" bestFit="1" customWidth="1"/>
    <col min="13575" max="13575" width="12" customWidth="1"/>
    <col min="13576" max="13576" width="25.88671875" customWidth="1"/>
    <col min="13577" max="13577" width="15.33203125" bestFit="1" customWidth="1"/>
    <col min="13578" max="13578" width="11" customWidth="1"/>
    <col min="13579" max="13579" width="11.109375" customWidth="1"/>
    <col min="13580" max="13580" width="16.44140625" bestFit="1" customWidth="1"/>
    <col min="13581" max="13581" width="16.88671875" customWidth="1"/>
    <col min="13582" max="13582" width="14.5546875" customWidth="1"/>
    <col min="13584" max="13584" width="57.21875" bestFit="1" customWidth="1"/>
    <col min="13585" max="13585" width="17.88671875" customWidth="1"/>
    <col min="13586" max="13586" width="16.5546875" bestFit="1" customWidth="1"/>
    <col min="13587" max="13587" width="14.33203125" bestFit="1" customWidth="1"/>
    <col min="13588" max="13588" width="14.77734375" bestFit="1" customWidth="1"/>
    <col min="13825" max="13825" width="10.109375" bestFit="1" customWidth="1"/>
    <col min="13826" max="13826" width="21" bestFit="1" customWidth="1"/>
    <col min="13827" max="13827" width="7" bestFit="1" customWidth="1"/>
    <col min="13828" max="13828" width="16" bestFit="1" customWidth="1"/>
    <col min="13829" max="13829" width="19" bestFit="1" customWidth="1"/>
    <col min="13830" max="13830" width="22.5546875" bestFit="1" customWidth="1"/>
    <col min="13831" max="13831" width="12" customWidth="1"/>
    <col min="13832" max="13832" width="25.88671875" customWidth="1"/>
    <col min="13833" max="13833" width="15.33203125" bestFit="1" customWidth="1"/>
    <col min="13834" max="13834" width="11" customWidth="1"/>
    <col min="13835" max="13835" width="11.109375" customWidth="1"/>
    <col min="13836" max="13836" width="16.44140625" bestFit="1" customWidth="1"/>
    <col min="13837" max="13837" width="16.88671875" customWidth="1"/>
    <col min="13838" max="13838" width="14.5546875" customWidth="1"/>
    <col min="13840" max="13840" width="57.21875" bestFit="1" customWidth="1"/>
    <col min="13841" max="13841" width="17.88671875" customWidth="1"/>
    <col min="13842" max="13842" width="16.5546875" bestFit="1" customWidth="1"/>
    <col min="13843" max="13843" width="14.33203125" bestFit="1" customWidth="1"/>
    <col min="13844" max="13844" width="14.77734375" bestFit="1" customWidth="1"/>
    <col min="14081" max="14081" width="10.109375" bestFit="1" customWidth="1"/>
    <col min="14082" max="14082" width="21" bestFit="1" customWidth="1"/>
    <col min="14083" max="14083" width="7" bestFit="1" customWidth="1"/>
    <col min="14084" max="14084" width="16" bestFit="1" customWidth="1"/>
    <col min="14085" max="14085" width="19" bestFit="1" customWidth="1"/>
    <col min="14086" max="14086" width="22.5546875" bestFit="1" customWidth="1"/>
    <col min="14087" max="14087" width="12" customWidth="1"/>
    <col min="14088" max="14088" width="25.88671875" customWidth="1"/>
    <col min="14089" max="14089" width="15.33203125" bestFit="1" customWidth="1"/>
    <col min="14090" max="14090" width="11" customWidth="1"/>
    <col min="14091" max="14091" width="11.109375" customWidth="1"/>
    <col min="14092" max="14092" width="16.44140625" bestFit="1" customWidth="1"/>
    <col min="14093" max="14093" width="16.88671875" customWidth="1"/>
    <col min="14094" max="14094" width="14.5546875" customWidth="1"/>
    <col min="14096" max="14096" width="57.21875" bestFit="1" customWidth="1"/>
    <col min="14097" max="14097" width="17.88671875" customWidth="1"/>
    <col min="14098" max="14098" width="16.5546875" bestFit="1" customWidth="1"/>
    <col min="14099" max="14099" width="14.33203125" bestFit="1" customWidth="1"/>
    <col min="14100" max="14100" width="14.77734375" bestFit="1" customWidth="1"/>
    <col min="14337" max="14337" width="10.109375" bestFit="1" customWidth="1"/>
    <col min="14338" max="14338" width="21" bestFit="1" customWidth="1"/>
    <col min="14339" max="14339" width="7" bestFit="1" customWidth="1"/>
    <col min="14340" max="14340" width="16" bestFit="1" customWidth="1"/>
    <col min="14341" max="14341" width="19" bestFit="1" customWidth="1"/>
    <col min="14342" max="14342" width="22.5546875" bestFit="1" customWidth="1"/>
    <col min="14343" max="14343" width="12" customWidth="1"/>
    <col min="14344" max="14344" width="25.88671875" customWidth="1"/>
    <col min="14345" max="14345" width="15.33203125" bestFit="1" customWidth="1"/>
    <col min="14346" max="14346" width="11" customWidth="1"/>
    <col min="14347" max="14347" width="11.109375" customWidth="1"/>
    <col min="14348" max="14348" width="16.44140625" bestFit="1" customWidth="1"/>
    <col min="14349" max="14349" width="16.88671875" customWidth="1"/>
    <col min="14350" max="14350" width="14.5546875" customWidth="1"/>
    <col min="14352" max="14352" width="57.21875" bestFit="1" customWidth="1"/>
    <col min="14353" max="14353" width="17.88671875" customWidth="1"/>
    <col min="14354" max="14354" width="16.5546875" bestFit="1" customWidth="1"/>
    <col min="14355" max="14355" width="14.33203125" bestFit="1" customWidth="1"/>
    <col min="14356" max="14356" width="14.77734375" bestFit="1" customWidth="1"/>
    <col min="14593" max="14593" width="10.109375" bestFit="1" customWidth="1"/>
    <col min="14594" max="14594" width="21" bestFit="1" customWidth="1"/>
    <col min="14595" max="14595" width="7" bestFit="1" customWidth="1"/>
    <col min="14596" max="14596" width="16" bestFit="1" customWidth="1"/>
    <col min="14597" max="14597" width="19" bestFit="1" customWidth="1"/>
    <col min="14598" max="14598" width="22.5546875" bestFit="1" customWidth="1"/>
    <col min="14599" max="14599" width="12" customWidth="1"/>
    <col min="14600" max="14600" width="25.88671875" customWidth="1"/>
    <col min="14601" max="14601" width="15.33203125" bestFit="1" customWidth="1"/>
    <col min="14602" max="14602" width="11" customWidth="1"/>
    <col min="14603" max="14603" width="11.109375" customWidth="1"/>
    <col min="14604" max="14604" width="16.44140625" bestFit="1" customWidth="1"/>
    <col min="14605" max="14605" width="16.88671875" customWidth="1"/>
    <col min="14606" max="14606" width="14.5546875" customWidth="1"/>
    <col min="14608" max="14608" width="57.21875" bestFit="1" customWidth="1"/>
    <col min="14609" max="14609" width="17.88671875" customWidth="1"/>
    <col min="14610" max="14610" width="16.5546875" bestFit="1" customWidth="1"/>
    <col min="14611" max="14611" width="14.33203125" bestFit="1" customWidth="1"/>
    <col min="14612" max="14612" width="14.77734375" bestFit="1" customWidth="1"/>
    <col min="14849" max="14849" width="10.109375" bestFit="1" customWidth="1"/>
    <col min="14850" max="14850" width="21" bestFit="1" customWidth="1"/>
    <col min="14851" max="14851" width="7" bestFit="1" customWidth="1"/>
    <col min="14852" max="14852" width="16" bestFit="1" customWidth="1"/>
    <col min="14853" max="14853" width="19" bestFit="1" customWidth="1"/>
    <col min="14854" max="14854" width="22.5546875" bestFit="1" customWidth="1"/>
    <col min="14855" max="14855" width="12" customWidth="1"/>
    <col min="14856" max="14856" width="25.88671875" customWidth="1"/>
    <col min="14857" max="14857" width="15.33203125" bestFit="1" customWidth="1"/>
    <col min="14858" max="14858" width="11" customWidth="1"/>
    <col min="14859" max="14859" width="11.109375" customWidth="1"/>
    <col min="14860" max="14860" width="16.44140625" bestFit="1" customWidth="1"/>
    <col min="14861" max="14861" width="16.88671875" customWidth="1"/>
    <col min="14862" max="14862" width="14.5546875" customWidth="1"/>
    <col min="14864" max="14864" width="57.21875" bestFit="1" customWidth="1"/>
    <col min="14865" max="14865" width="17.88671875" customWidth="1"/>
    <col min="14866" max="14866" width="16.5546875" bestFit="1" customWidth="1"/>
    <col min="14867" max="14867" width="14.33203125" bestFit="1" customWidth="1"/>
    <col min="14868" max="14868" width="14.77734375" bestFit="1" customWidth="1"/>
    <col min="15105" max="15105" width="10.109375" bestFit="1" customWidth="1"/>
    <col min="15106" max="15106" width="21" bestFit="1" customWidth="1"/>
    <col min="15107" max="15107" width="7" bestFit="1" customWidth="1"/>
    <col min="15108" max="15108" width="16" bestFit="1" customWidth="1"/>
    <col min="15109" max="15109" width="19" bestFit="1" customWidth="1"/>
    <col min="15110" max="15110" width="22.5546875" bestFit="1" customWidth="1"/>
    <col min="15111" max="15111" width="12" customWidth="1"/>
    <col min="15112" max="15112" width="25.88671875" customWidth="1"/>
    <col min="15113" max="15113" width="15.33203125" bestFit="1" customWidth="1"/>
    <col min="15114" max="15114" width="11" customWidth="1"/>
    <col min="15115" max="15115" width="11.109375" customWidth="1"/>
    <col min="15116" max="15116" width="16.44140625" bestFit="1" customWidth="1"/>
    <col min="15117" max="15117" width="16.88671875" customWidth="1"/>
    <col min="15118" max="15118" width="14.5546875" customWidth="1"/>
    <col min="15120" max="15120" width="57.21875" bestFit="1" customWidth="1"/>
    <col min="15121" max="15121" width="17.88671875" customWidth="1"/>
    <col min="15122" max="15122" width="16.5546875" bestFit="1" customWidth="1"/>
    <col min="15123" max="15123" width="14.33203125" bestFit="1" customWidth="1"/>
    <col min="15124" max="15124" width="14.77734375" bestFit="1" customWidth="1"/>
    <col min="15361" max="15361" width="10.109375" bestFit="1" customWidth="1"/>
    <col min="15362" max="15362" width="21" bestFit="1" customWidth="1"/>
    <col min="15363" max="15363" width="7" bestFit="1" customWidth="1"/>
    <col min="15364" max="15364" width="16" bestFit="1" customWidth="1"/>
    <col min="15365" max="15365" width="19" bestFit="1" customWidth="1"/>
    <col min="15366" max="15366" width="22.5546875" bestFit="1" customWidth="1"/>
    <col min="15367" max="15367" width="12" customWidth="1"/>
    <col min="15368" max="15368" width="25.88671875" customWidth="1"/>
    <col min="15369" max="15369" width="15.33203125" bestFit="1" customWidth="1"/>
    <col min="15370" max="15370" width="11" customWidth="1"/>
    <col min="15371" max="15371" width="11.109375" customWidth="1"/>
    <col min="15372" max="15372" width="16.44140625" bestFit="1" customWidth="1"/>
    <col min="15373" max="15373" width="16.88671875" customWidth="1"/>
    <col min="15374" max="15374" width="14.5546875" customWidth="1"/>
    <col min="15376" max="15376" width="57.21875" bestFit="1" customWidth="1"/>
    <col min="15377" max="15377" width="17.88671875" customWidth="1"/>
    <col min="15378" max="15378" width="16.5546875" bestFit="1" customWidth="1"/>
    <col min="15379" max="15379" width="14.33203125" bestFit="1" customWidth="1"/>
    <col min="15380" max="15380" width="14.77734375" bestFit="1" customWidth="1"/>
    <col min="15617" max="15617" width="10.109375" bestFit="1" customWidth="1"/>
    <col min="15618" max="15618" width="21" bestFit="1" customWidth="1"/>
    <col min="15619" max="15619" width="7" bestFit="1" customWidth="1"/>
    <col min="15620" max="15620" width="16" bestFit="1" customWidth="1"/>
    <col min="15621" max="15621" width="19" bestFit="1" customWidth="1"/>
    <col min="15622" max="15622" width="22.5546875" bestFit="1" customWidth="1"/>
    <col min="15623" max="15623" width="12" customWidth="1"/>
    <col min="15624" max="15624" width="25.88671875" customWidth="1"/>
    <col min="15625" max="15625" width="15.33203125" bestFit="1" customWidth="1"/>
    <col min="15626" max="15626" width="11" customWidth="1"/>
    <col min="15627" max="15627" width="11.109375" customWidth="1"/>
    <col min="15628" max="15628" width="16.44140625" bestFit="1" customWidth="1"/>
    <col min="15629" max="15629" width="16.88671875" customWidth="1"/>
    <col min="15630" max="15630" width="14.5546875" customWidth="1"/>
    <col min="15632" max="15632" width="57.21875" bestFit="1" customWidth="1"/>
    <col min="15633" max="15633" width="17.88671875" customWidth="1"/>
    <col min="15634" max="15634" width="16.5546875" bestFit="1" customWidth="1"/>
    <col min="15635" max="15635" width="14.33203125" bestFit="1" customWidth="1"/>
    <col min="15636" max="15636" width="14.77734375" bestFit="1" customWidth="1"/>
    <col min="15873" max="15873" width="10.109375" bestFit="1" customWidth="1"/>
    <col min="15874" max="15874" width="21" bestFit="1" customWidth="1"/>
    <col min="15875" max="15875" width="7" bestFit="1" customWidth="1"/>
    <col min="15876" max="15876" width="16" bestFit="1" customWidth="1"/>
    <col min="15877" max="15877" width="19" bestFit="1" customWidth="1"/>
    <col min="15878" max="15878" width="22.5546875" bestFit="1" customWidth="1"/>
    <col min="15879" max="15879" width="12" customWidth="1"/>
    <col min="15880" max="15880" width="25.88671875" customWidth="1"/>
    <col min="15881" max="15881" width="15.33203125" bestFit="1" customWidth="1"/>
    <col min="15882" max="15882" width="11" customWidth="1"/>
    <col min="15883" max="15883" width="11.109375" customWidth="1"/>
    <col min="15884" max="15884" width="16.44140625" bestFit="1" customWidth="1"/>
    <col min="15885" max="15885" width="16.88671875" customWidth="1"/>
    <col min="15886" max="15886" width="14.5546875" customWidth="1"/>
    <col min="15888" max="15888" width="57.21875" bestFit="1" customWidth="1"/>
    <col min="15889" max="15889" width="17.88671875" customWidth="1"/>
    <col min="15890" max="15890" width="16.5546875" bestFit="1" customWidth="1"/>
    <col min="15891" max="15891" width="14.33203125" bestFit="1" customWidth="1"/>
    <col min="15892" max="15892" width="14.77734375" bestFit="1" customWidth="1"/>
    <col min="16129" max="16129" width="10.109375" bestFit="1" customWidth="1"/>
    <col min="16130" max="16130" width="21" bestFit="1" customWidth="1"/>
    <col min="16131" max="16131" width="7" bestFit="1" customWidth="1"/>
    <col min="16132" max="16132" width="16" bestFit="1" customWidth="1"/>
    <col min="16133" max="16133" width="19" bestFit="1" customWidth="1"/>
    <col min="16134" max="16134" width="22.5546875" bestFit="1" customWidth="1"/>
    <col min="16135" max="16135" width="12" customWidth="1"/>
    <col min="16136" max="16136" width="25.88671875" customWidth="1"/>
    <col min="16137" max="16137" width="15.33203125" bestFit="1" customWidth="1"/>
    <col min="16138" max="16138" width="11" customWidth="1"/>
    <col min="16139" max="16139" width="11.109375" customWidth="1"/>
    <col min="16140" max="16140" width="16.44140625" bestFit="1" customWidth="1"/>
    <col min="16141" max="16141" width="16.88671875" customWidth="1"/>
    <col min="16142" max="16142" width="14.5546875" customWidth="1"/>
    <col min="16144" max="16144" width="57.21875" bestFit="1" customWidth="1"/>
    <col min="16145" max="16145" width="17.88671875" customWidth="1"/>
    <col min="16146" max="16146" width="16.5546875" bestFit="1" customWidth="1"/>
    <col min="16147" max="16147" width="14.33203125" bestFit="1" customWidth="1"/>
    <col min="16148" max="16148" width="14.77734375" bestFit="1" customWidth="1"/>
  </cols>
  <sheetData>
    <row r="1" spans="1:8" x14ac:dyDescent="0.3">
      <c r="A1" s="193" t="s">
        <v>861</v>
      </c>
    </row>
    <row r="2" spans="1:8" ht="15" thickBot="1" x14ac:dyDescent="0.35"/>
    <row r="3" spans="1:8" ht="21" thickBot="1" x14ac:dyDescent="0.35">
      <c r="A3" s="203" t="s">
        <v>777</v>
      </c>
      <c r="B3" s="186" t="s">
        <v>778</v>
      </c>
      <c r="C3" s="186" t="s">
        <v>779</v>
      </c>
      <c r="D3" s="186" t="s">
        <v>780</v>
      </c>
      <c r="E3" s="186" t="s">
        <v>781</v>
      </c>
      <c r="F3" s="186" t="s">
        <v>782</v>
      </c>
      <c r="G3" s="186" t="s">
        <v>783</v>
      </c>
      <c r="H3" s="186" t="s">
        <v>784</v>
      </c>
    </row>
    <row r="4" spans="1:8" ht="41.4" thickBot="1" x14ac:dyDescent="0.35">
      <c r="A4" s="187" t="s">
        <v>907</v>
      </c>
      <c r="B4" s="189" t="s">
        <v>908</v>
      </c>
      <c r="C4" s="189" t="s">
        <v>217</v>
      </c>
      <c r="D4" s="190" t="s">
        <v>909</v>
      </c>
      <c r="E4" s="189" t="s">
        <v>74</v>
      </c>
      <c r="F4" s="189" t="s">
        <v>865</v>
      </c>
      <c r="G4" s="189">
        <v>356.18</v>
      </c>
      <c r="H4" s="190" t="s">
        <v>910</v>
      </c>
    </row>
    <row r="5" spans="1:8" ht="31.2" thickBot="1" x14ac:dyDescent="0.35">
      <c r="A5" s="187" t="s">
        <v>911</v>
      </c>
      <c r="B5" s="189" t="s">
        <v>912</v>
      </c>
      <c r="C5" s="189" t="s">
        <v>217</v>
      </c>
      <c r="D5" s="190" t="s">
        <v>913</v>
      </c>
      <c r="E5" s="189" t="s">
        <v>74</v>
      </c>
      <c r="F5" s="189" t="s">
        <v>865</v>
      </c>
      <c r="G5" s="189">
        <v>155.16999999999999</v>
      </c>
      <c r="H5" s="190" t="s">
        <v>910</v>
      </c>
    </row>
    <row r="6" spans="1:8" ht="21" thickBot="1" x14ac:dyDescent="0.35">
      <c r="A6" s="187" t="s">
        <v>914</v>
      </c>
      <c r="B6" s="189" t="s">
        <v>915</v>
      </c>
      <c r="C6" s="189" t="s">
        <v>217</v>
      </c>
      <c r="D6" s="190" t="s">
        <v>916</v>
      </c>
      <c r="E6" s="189" t="s">
        <v>74</v>
      </c>
      <c r="F6" s="189" t="s">
        <v>793</v>
      </c>
      <c r="G6" s="189">
        <v>53.14</v>
      </c>
      <c r="H6" s="190" t="s">
        <v>910</v>
      </c>
    </row>
    <row r="7" spans="1:8" ht="21" thickBot="1" x14ac:dyDescent="0.35">
      <c r="A7" s="187" t="s">
        <v>917</v>
      </c>
      <c r="B7" s="189" t="s">
        <v>918</v>
      </c>
      <c r="C7" s="189" t="s">
        <v>217</v>
      </c>
      <c r="D7" s="190" t="s">
        <v>919</v>
      </c>
      <c r="E7" s="189" t="s">
        <v>74</v>
      </c>
      <c r="F7" s="189" t="s">
        <v>801</v>
      </c>
      <c r="G7" s="189">
        <v>146.82</v>
      </c>
      <c r="H7" s="190" t="s">
        <v>910</v>
      </c>
    </row>
    <row r="8" spans="1:8" ht="21" thickBot="1" x14ac:dyDescent="0.35">
      <c r="A8" s="187" t="s">
        <v>920</v>
      </c>
      <c r="B8" s="189" t="s">
        <v>921</v>
      </c>
      <c r="C8" s="189" t="s">
        <v>217</v>
      </c>
      <c r="D8" s="190" t="s">
        <v>302</v>
      </c>
      <c r="E8" s="189" t="s">
        <v>74</v>
      </c>
      <c r="F8" s="189" t="s">
        <v>801</v>
      </c>
      <c r="G8" s="189">
        <v>41.97</v>
      </c>
      <c r="H8" s="190" t="s">
        <v>910</v>
      </c>
    </row>
    <row r="9" spans="1:8" ht="31.2" thickBot="1" x14ac:dyDescent="0.35">
      <c r="A9" s="187" t="s">
        <v>922</v>
      </c>
      <c r="B9" s="190" t="s">
        <v>923</v>
      </c>
      <c r="C9" s="190" t="s">
        <v>217</v>
      </c>
      <c r="D9" s="190" t="s">
        <v>924</v>
      </c>
      <c r="E9" s="189" t="s">
        <v>74</v>
      </c>
      <c r="F9" s="189" t="s">
        <v>865</v>
      </c>
      <c r="G9" s="190">
        <v>197.37</v>
      </c>
      <c r="H9" s="190" t="s">
        <v>822</v>
      </c>
    </row>
    <row r="10" spans="1:8" ht="15.6" customHeight="1" x14ac:dyDescent="0.3">
      <c r="A10" s="243" t="s">
        <v>925</v>
      </c>
      <c r="B10" s="243" t="s">
        <v>926</v>
      </c>
      <c r="C10" s="243" t="s">
        <v>217</v>
      </c>
      <c r="D10" s="243" t="s">
        <v>927</v>
      </c>
      <c r="E10" s="243" t="s">
        <v>15</v>
      </c>
      <c r="F10" s="243" t="s">
        <v>806</v>
      </c>
      <c r="G10" s="204">
        <v>840</v>
      </c>
      <c r="H10" s="243" t="s">
        <v>822</v>
      </c>
    </row>
    <row r="11" spans="1:8" ht="15" thickBot="1" x14ac:dyDescent="0.35">
      <c r="A11" s="244"/>
      <c r="B11" s="244"/>
      <c r="C11" s="244"/>
      <c r="D11" s="244"/>
      <c r="E11" s="244"/>
      <c r="F11" s="244"/>
      <c r="G11" s="205" t="s">
        <v>928</v>
      </c>
      <c r="H11" s="244"/>
    </row>
    <row r="12" spans="1:8" ht="31.2" thickBot="1" x14ac:dyDescent="0.35">
      <c r="A12" s="187" t="s">
        <v>929</v>
      </c>
      <c r="B12" s="190" t="s">
        <v>930</v>
      </c>
      <c r="C12" s="189" t="s">
        <v>931</v>
      </c>
      <c r="D12" s="190" t="s">
        <v>932</v>
      </c>
      <c r="E12" s="190" t="s">
        <v>74</v>
      </c>
      <c r="F12" s="190" t="s">
        <v>865</v>
      </c>
      <c r="G12" s="190">
        <v>170</v>
      </c>
      <c r="H12" s="190" t="s">
        <v>933</v>
      </c>
    </row>
    <row r="13" spans="1:8" ht="31.2" thickBot="1" x14ac:dyDescent="0.35">
      <c r="A13" s="187" t="s">
        <v>934</v>
      </c>
      <c r="B13" s="189" t="s">
        <v>935</v>
      </c>
      <c r="C13" s="189" t="s">
        <v>931</v>
      </c>
      <c r="D13" s="189" t="s">
        <v>936</v>
      </c>
      <c r="E13" s="189" t="s">
        <v>74</v>
      </c>
      <c r="F13" s="189" t="s">
        <v>793</v>
      </c>
      <c r="G13" s="189">
        <v>19.34</v>
      </c>
      <c r="H13" s="190" t="s">
        <v>910</v>
      </c>
    </row>
    <row r="14" spans="1:8" ht="31.2" thickBot="1" x14ac:dyDescent="0.35">
      <c r="A14" s="187" t="s">
        <v>937</v>
      </c>
      <c r="B14" s="190" t="s">
        <v>938</v>
      </c>
      <c r="C14" s="189" t="s">
        <v>931</v>
      </c>
      <c r="D14" s="190" t="s">
        <v>939</v>
      </c>
      <c r="E14" s="190" t="s">
        <v>74</v>
      </c>
      <c r="F14" s="190" t="s">
        <v>797</v>
      </c>
      <c r="G14" s="190">
        <v>120</v>
      </c>
      <c r="H14" s="190" t="s">
        <v>933</v>
      </c>
    </row>
    <row r="15" spans="1:8" ht="21" thickBot="1" x14ac:dyDescent="0.35">
      <c r="A15" s="187" t="s">
        <v>940</v>
      </c>
      <c r="B15" s="189" t="s">
        <v>941</v>
      </c>
      <c r="C15" s="189" t="s">
        <v>231</v>
      </c>
      <c r="D15" s="190" t="s">
        <v>942</v>
      </c>
      <c r="E15" s="189" t="s">
        <v>74</v>
      </c>
      <c r="F15" s="189" t="s">
        <v>865</v>
      </c>
      <c r="G15" s="189">
        <v>154.35</v>
      </c>
      <c r="H15" s="190" t="s">
        <v>910</v>
      </c>
    </row>
    <row r="16" spans="1:8" ht="21" thickBot="1" x14ac:dyDescent="0.35">
      <c r="A16" s="187" t="s">
        <v>943</v>
      </c>
      <c r="B16" s="190" t="s">
        <v>944</v>
      </c>
      <c r="C16" s="190" t="s">
        <v>233</v>
      </c>
      <c r="D16" s="190" t="s">
        <v>945</v>
      </c>
      <c r="E16" s="190" t="s">
        <v>74</v>
      </c>
      <c r="F16" s="190" t="s">
        <v>793</v>
      </c>
      <c r="G16" s="190">
        <v>5.14</v>
      </c>
      <c r="H16" s="190" t="s">
        <v>822</v>
      </c>
    </row>
    <row r="17" spans="1:11" ht="41.4" thickBot="1" x14ac:dyDescent="0.35">
      <c r="A17" s="187" t="s">
        <v>946</v>
      </c>
      <c r="B17" s="189" t="s">
        <v>947</v>
      </c>
      <c r="C17" s="190" t="s">
        <v>238</v>
      </c>
      <c r="D17" s="190" t="s">
        <v>830</v>
      </c>
      <c r="E17" s="189" t="s">
        <v>74</v>
      </c>
      <c r="F17" s="189" t="s">
        <v>865</v>
      </c>
      <c r="G17" s="189">
        <v>4.2</v>
      </c>
      <c r="H17" s="190" t="s">
        <v>910</v>
      </c>
    </row>
    <row r="18" spans="1:11" ht="31.2" thickBot="1" x14ac:dyDescent="0.35">
      <c r="A18" s="187" t="s">
        <v>948</v>
      </c>
      <c r="B18" s="189" t="s">
        <v>949</v>
      </c>
      <c r="C18" s="190" t="s">
        <v>253</v>
      </c>
      <c r="D18" s="190" t="s">
        <v>302</v>
      </c>
      <c r="E18" s="189" t="s">
        <v>74</v>
      </c>
      <c r="F18" s="189" t="s">
        <v>865</v>
      </c>
      <c r="G18" s="189">
        <v>2.74</v>
      </c>
      <c r="H18" s="190" t="s">
        <v>910</v>
      </c>
    </row>
    <row r="19" spans="1:11" ht="15" thickBot="1" x14ac:dyDescent="0.35">
      <c r="A19" s="192" t="s">
        <v>333</v>
      </c>
      <c r="B19" s="175"/>
      <c r="C19" s="175"/>
      <c r="D19" s="176"/>
      <c r="E19" s="175"/>
      <c r="F19" s="175"/>
      <c r="G19" s="195">
        <f>SUM(G4:G18)</f>
        <v>2266.4199999999992</v>
      </c>
      <c r="H19" s="175"/>
    </row>
    <row r="20" spans="1:11" x14ac:dyDescent="0.3">
      <c r="D20"/>
      <c r="J20"/>
      <c r="K20"/>
    </row>
    <row r="21" spans="1:11" x14ac:dyDescent="0.3">
      <c r="D21"/>
      <c r="J21"/>
      <c r="K21"/>
    </row>
    <row r="22" spans="1:11" x14ac:dyDescent="0.3">
      <c r="D22"/>
      <c r="J22"/>
      <c r="K22"/>
    </row>
    <row r="23" spans="1:11" x14ac:dyDescent="0.3">
      <c r="D23"/>
      <c r="J23"/>
      <c r="K23"/>
    </row>
    <row r="24" spans="1:11" x14ac:dyDescent="0.3">
      <c r="D24"/>
      <c r="J24"/>
      <c r="K24"/>
    </row>
    <row r="25" spans="1:11" x14ac:dyDescent="0.3">
      <c r="D25"/>
      <c r="J25"/>
      <c r="K25"/>
    </row>
    <row r="26" spans="1:11" x14ac:dyDescent="0.3">
      <c r="D26"/>
      <c r="J26"/>
      <c r="K26"/>
    </row>
    <row r="27" spans="1:11" x14ac:dyDescent="0.3">
      <c r="D27"/>
      <c r="J27"/>
      <c r="K27"/>
    </row>
    <row r="28" spans="1:11" x14ac:dyDescent="0.3">
      <c r="D28"/>
      <c r="J28"/>
      <c r="K28"/>
    </row>
    <row r="29" spans="1:11" x14ac:dyDescent="0.3">
      <c r="D29"/>
      <c r="J29"/>
      <c r="K29"/>
    </row>
    <row r="30" spans="1:11" x14ac:dyDescent="0.3">
      <c r="D30"/>
      <c r="J30"/>
      <c r="K30"/>
    </row>
    <row r="31" spans="1:11" x14ac:dyDescent="0.3">
      <c r="D31"/>
      <c r="J31"/>
      <c r="K31"/>
    </row>
    <row r="32" spans="1:11" x14ac:dyDescent="0.3">
      <c r="D32"/>
      <c r="J32"/>
      <c r="K32"/>
    </row>
    <row r="33" customFormat="1" x14ac:dyDescent="0.3"/>
    <row r="34" customFormat="1" x14ac:dyDescent="0.3"/>
    <row r="35" customFormat="1" x14ac:dyDescent="0.3"/>
    <row r="36" customFormat="1" x14ac:dyDescent="0.3"/>
    <row r="37" customFormat="1" x14ac:dyDescent="0.3"/>
    <row r="38" customFormat="1" x14ac:dyDescent="0.3"/>
    <row r="39" customFormat="1" x14ac:dyDescent="0.3"/>
    <row r="40" customFormat="1" x14ac:dyDescent="0.3"/>
    <row r="41" customFormat="1" x14ac:dyDescent="0.3"/>
    <row r="42" customFormat="1" x14ac:dyDescent="0.3"/>
    <row r="43" customFormat="1" x14ac:dyDescent="0.3"/>
    <row r="44" customFormat="1" x14ac:dyDescent="0.3"/>
    <row r="45" customFormat="1" x14ac:dyDescent="0.3"/>
  </sheetData>
  <mergeCells count="7">
    <mergeCell ref="H10:H11"/>
    <mergeCell ref="A10:A11"/>
    <mergeCell ref="B10:B11"/>
    <mergeCell ref="C10:C11"/>
    <mergeCell ref="D10:D11"/>
    <mergeCell ref="E10:E11"/>
    <mergeCell ref="F10:F1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A8A25-E419-4152-AE08-C1409836918A}">
  <dimension ref="A3:F40"/>
  <sheetViews>
    <sheetView workbookViewId="0">
      <selection activeCell="A4" sqref="A4:F40"/>
    </sheetView>
  </sheetViews>
  <sheetFormatPr defaultRowHeight="14.4" x14ac:dyDescent="0.3"/>
  <cols>
    <col min="1" max="1" width="9.5546875" customWidth="1"/>
    <col min="2" max="2" width="51.77734375" customWidth="1"/>
    <col min="3" max="3" width="18.5546875" bestFit="1" customWidth="1"/>
    <col min="4" max="4" width="17.77734375" bestFit="1" customWidth="1"/>
    <col min="5" max="6" width="19.33203125" bestFit="1" customWidth="1"/>
  </cols>
  <sheetData>
    <row r="3" spans="1:6" x14ac:dyDescent="0.3">
      <c r="A3" s="147" t="s">
        <v>754</v>
      </c>
      <c r="C3" s="147" t="s">
        <v>755</v>
      </c>
    </row>
    <row r="4" spans="1:6" x14ac:dyDescent="0.3">
      <c r="A4" s="147" t="s">
        <v>752</v>
      </c>
      <c r="B4" s="147" t="s">
        <v>298</v>
      </c>
      <c r="C4" t="s">
        <v>73</v>
      </c>
      <c r="D4" t="s">
        <v>72</v>
      </c>
      <c r="E4" t="s">
        <v>74</v>
      </c>
      <c r="F4" t="s">
        <v>753</v>
      </c>
    </row>
    <row r="5" spans="1:6" x14ac:dyDescent="0.3">
      <c r="A5" s="148" t="s">
        <v>17</v>
      </c>
      <c r="B5" s="148" t="s">
        <v>34</v>
      </c>
      <c r="C5" s="144">
        <v>270000</v>
      </c>
      <c r="D5" s="144">
        <v>1250000</v>
      </c>
      <c r="E5" s="144"/>
      <c r="F5" s="144">
        <v>1520000</v>
      </c>
    </row>
    <row r="6" spans="1:6" x14ac:dyDescent="0.3">
      <c r="A6" s="148" t="s">
        <v>18</v>
      </c>
      <c r="B6" s="148" t="s">
        <v>267</v>
      </c>
      <c r="C6" s="144">
        <v>1600000</v>
      </c>
      <c r="D6" s="144">
        <v>5750000</v>
      </c>
      <c r="E6" s="144"/>
      <c r="F6" s="144">
        <v>7350000</v>
      </c>
    </row>
    <row r="7" spans="1:6" x14ac:dyDescent="0.3">
      <c r="A7" s="148" t="s">
        <v>19</v>
      </c>
      <c r="B7" s="148" t="s">
        <v>65</v>
      </c>
      <c r="C7" s="144">
        <v>180000</v>
      </c>
      <c r="D7" s="144"/>
      <c r="E7" s="144"/>
      <c r="F7" s="144">
        <v>180000</v>
      </c>
    </row>
    <row r="8" spans="1:6" x14ac:dyDescent="0.3">
      <c r="A8" s="148" t="s">
        <v>20</v>
      </c>
      <c r="B8" s="148" t="s">
        <v>261</v>
      </c>
      <c r="C8" s="144">
        <v>1750000</v>
      </c>
      <c r="D8" s="144">
        <v>28000000</v>
      </c>
      <c r="E8" s="144"/>
      <c r="F8" s="144">
        <v>29750000</v>
      </c>
    </row>
    <row r="9" spans="1:6" x14ac:dyDescent="0.3">
      <c r="A9" s="148" t="s">
        <v>21</v>
      </c>
      <c r="B9" s="148" t="s">
        <v>268</v>
      </c>
      <c r="C9" s="144">
        <v>140000</v>
      </c>
      <c r="D9" s="144">
        <v>593876</v>
      </c>
      <c r="E9" s="144"/>
      <c r="F9" s="144">
        <v>733876</v>
      </c>
    </row>
    <row r="10" spans="1:6" x14ac:dyDescent="0.3">
      <c r="A10" s="148" t="s">
        <v>22</v>
      </c>
      <c r="B10" s="148" t="s">
        <v>269</v>
      </c>
      <c r="C10" s="144">
        <v>140000</v>
      </c>
      <c r="D10" s="144">
        <v>593876</v>
      </c>
      <c r="E10" s="144"/>
      <c r="F10" s="144">
        <v>733876</v>
      </c>
    </row>
    <row r="11" spans="1:6" x14ac:dyDescent="0.3">
      <c r="A11" s="148" t="s">
        <v>23</v>
      </c>
      <c r="B11" s="148" t="s">
        <v>270</v>
      </c>
      <c r="C11" s="144">
        <v>140000</v>
      </c>
      <c r="D11" s="144">
        <v>593876</v>
      </c>
      <c r="E11" s="144"/>
      <c r="F11" s="144">
        <v>733876</v>
      </c>
    </row>
    <row r="12" spans="1:6" x14ac:dyDescent="0.3">
      <c r="A12" s="148" t="s">
        <v>272</v>
      </c>
      <c r="B12" s="148" t="s">
        <v>271</v>
      </c>
      <c r="C12" s="144">
        <v>160000</v>
      </c>
      <c r="D12" s="144">
        <v>1188134</v>
      </c>
      <c r="E12" s="144">
        <v>0</v>
      </c>
      <c r="F12" s="144">
        <v>1348134</v>
      </c>
    </row>
    <row r="13" spans="1:6" x14ac:dyDescent="0.3">
      <c r="A13" s="148" t="s">
        <v>24</v>
      </c>
      <c r="B13" s="148" t="s">
        <v>273</v>
      </c>
      <c r="C13" s="144">
        <v>260000</v>
      </c>
      <c r="D13" s="144"/>
      <c r="E13" s="144"/>
      <c r="F13" s="144">
        <v>260000</v>
      </c>
    </row>
    <row r="14" spans="1:6" x14ac:dyDescent="0.3">
      <c r="A14" s="148" t="s">
        <v>25</v>
      </c>
      <c r="B14" s="148" t="s">
        <v>274</v>
      </c>
      <c r="C14" s="144">
        <v>380000</v>
      </c>
      <c r="D14" s="144"/>
      <c r="E14" s="144"/>
      <c r="F14" s="144">
        <v>380000</v>
      </c>
    </row>
    <row r="15" spans="1:6" x14ac:dyDescent="0.3">
      <c r="A15" s="148" t="s">
        <v>26</v>
      </c>
      <c r="B15" s="148" t="s">
        <v>276</v>
      </c>
      <c r="C15" s="144">
        <v>160000</v>
      </c>
      <c r="D15" s="144"/>
      <c r="E15" s="144"/>
      <c r="F15" s="144">
        <v>160000</v>
      </c>
    </row>
    <row r="16" spans="1:6" x14ac:dyDescent="0.3">
      <c r="A16" s="148" t="s">
        <v>27</v>
      </c>
      <c r="B16" s="148" t="s">
        <v>299</v>
      </c>
      <c r="C16" s="144">
        <v>220000</v>
      </c>
      <c r="D16" s="144"/>
      <c r="E16" s="144"/>
      <c r="F16" s="144">
        <v>220000</v>
      </c>
    </row>
    <row r="17" spans="1:6" x14ac:dyDescent="0.3">
      <c r="A17" s="148" t="s">
        <v>28</v>
      </c>
      <c r="B17" s="148" t="s">
        <v>67</v>
      </c>
      <c r="C17" s="144">
        <v>50000</v>
      </c>
      <c r="D17" s="144">
        <v>2752486</v>
      </c>
      <c r="E17" s="144"/>
      <c r="F17" s="144">
        <v>2802486</v>
      </c>
    </row>
    <row r="18" spans="1:6" x14ac:dyDescent="0.3">
      <c r="A18" s="148" t="s">
        <v>29</v>
      </c>
      <c r="B18" s="148" t="s">
        <v>277</v>
      </c>
      <c r="C18" s="144">
        <v>50000</v>
      </c>
      <c r="D18" s="144">
        <v>1285169</v>
      </c>
      <c r="E18" s="144"/>
      <c r="F18" s="144">
        <v>1335169</v>
      </c>
    </row>
    <row r="19" spans="1:6" x14ac:dyDescent="0.3">
      <c r="A19" s="148" t="s">
        <v>30</v>
      </c>
      <c r="B19" s="148" t="s">
        <v>68</v>
      </c>
      <c r="C19" s="144">
        <v>50000</v>
      </c>
      <c r="D19" s="144">
        <v>3107460</v>
      </c>
      <c r="E19" s="144"/>
      <c r="F19" s="144">
        <v>3157460</v>
      </c>
    </row>
    <row r="20" spans="1:6" x14ac:dyDescent="0.3">
      <c r="A20" s="148" t="s">
        <v>35</v>
      </c>
      <c r="B20" s="148" t="s">
        <v>278</v>
      </c>
      <c r="C20" s="144"/>
      <c r="D20" s="144">
        <v>36435135.899999999</v>
      </c>
      <c r="E20" s="144">
        <v>1637916223.0999999</v>
      </c>
      <c r="F20" s="144">
        <v>1674351359</v>
      </c>
    </row>
    <row r="21" spans="1:6" x14ac:dyDescent="0.3">
      <c r="A21" s="148" t="s">
        <v>32</v>
      </c>
      <c r="B21" s="148" t="s">
        <v>279</v>
      </c>
      <c r="C21" s="144">
        <v>7597364</v>
      </c>
      <c r="D21" s="144"/>
      <c r="E21" s="144"/>
      <c r="F21" s="144">
        <v>7597364</v>
      </c>
    </row>
    <row r="22" spans="1:6" x14ac:dyDescent="0.3">
      <c r="A22" s="148" t="s">
        <v>33</v>
      </c>
      <c r="B22" s="148" t="s">
        <v>280</v>
      </c>
      <c r="C22" s="144">
        <v>3798681.89</v>
      </c>
      <c r="D22" s="144">
        <v>15194727.560000001</v>
      </c>
      <c r="E22" s="144">
        <v>360874779.55000001</v>
      </c>
      <c r="F22" s="144">
        <v>379868189</v>
      </c>
    </row>
    <row r="23" spans="1:6" x14ac:dyDescent="0.3">
      <c r="A23" s="148" t="s">
        <v>36</v>
      </c>
      <c r="B23" s="148" t="s">
        <v>281</v>
      </c>
      <c r="C23" s="144">
        <v>50000</v>
      </c>
      <c r="D23" s="144">
        <v>5500000</v>
      </c>
      <c r="E23" s="144"/>
      <c r="F23" s="144">
        <v>5550000</v>
      </c>
    </row>
    <row r="24" spans="1:6" x14ac:dyDescent="0.3">
      <c r="A24" s="148" t="s">
        <v>37</v>
      </c>
      <c r="B24" s="148" t="s">
        <v>56</v>
      </c>
      <c r="C24" s="144"/>
      <c r="D24" s="144">
        <v>89292756</v>
      </c>
      <c r="E24" s="144">
        <v>2176855113</v>
      </c>
      <c r="F24" s="144">
        <v>2266147869</v>
      </c>
    </row>
    <row r="25" spans="1:6" x14ac:dyDescent="0.3">
      <c r="A25" s="148" t="s">
        <v>293</v>
      </c>
      <c r="B25" s="148" t="s">
        <v>57</v>
      </c>
      <c r="C25" s="144">
        <v>50000</v>
      </c>
      <c r="D25" s="144">
        <v>1568350</v>
      </c>
      <c r="E25" s="144"/>
      <c r="F25" s="144">
        <v>1618350</v>
      </c>
    </row>
    <row r="26" spans="1:6" x14ac:dyDescent="0.3">
      <c r="A26" s="148" t="s">
        <v>38</v>
      </c>
      <c r="B26" s="148" t="s">
        <v>259</v>
      </c>
      <c r="C26" s="144">
        <v>280000</v>
      </c>
      <c r="D26" s="144"/>
      <c r="E26" s="144"/>
      <c r="F26" s="144">
        <v>280000</v>
      </c>
    </row>
    <row r="27" spans="1:6" x14ac:dyDescent="0.3">
      <c r="A27" s="148" t="s">
        <v>39</v>
      </c>
      <c r="B27" s="148" t="s">
        <v>255</v>
      </c>
      <c r="C27" s="144">
        <v>260000</v>
      </c>
      <c r="D27" s="144"/>
      <c r="E27" s="144"/>
      <c r="F27" s="144">
        <v>260000</v>
      </c>
    </row>
    <row r="28" spans="1:6" x14ac:dyDescent="0.3">
      <c r="A28" s="148" t="s">
        <v>40</v>
      </c>
      <c r="B28" s="148" t="s">
        <v>283</v>
      </c>
      <c r="C28" s="144">
        <v>50000</v>
      </c>
      <c r="D28" s="144">
        <v>12320000</v>
      </c>
      <c r="E28" s="144"/>
      <c r="F28" s="144">
        <v>12370000</v>
      </c>
    </row>
    <row r="29" spans="1:6" x14ac:dyDescent="0.3">
      <c r="A29" s="148" t="s">
        <v>41</v>
      </c>
      <c r="B29" s="148" t="s">
        <v>284</v>
      </c>
      <c r="C29" s="144">
        <v>12760000</v>
      </c>
      <c r="D29" s="144"/>
      <c r="E29" s="144"/>
      <c r="F29" s="144">
        <v>12760000</v>
      </c>
    </row>
    <row r="30" spans="1:6" x14ac:dyDescent="0.3">
      <c r="A30" s="148" t="s">
        <v>42</v>
      </c>
      <c r="B30" s="148" t="s">
        <v>285</v>
      </c>
      <c r="C30" s="144">
        <v>880000</v>
      </c>
      <c r="D30" s="144">
        <v>4400000</v>
      </c>
      <c r="E30" s="144"/>
      <c r="F30" s="144">
        <v>5280000</v>
      </c>
    </row>
    <row r="31" spans="1:6" x14ac:dyDescent="0.3">
      <c r="A31" s="148" t="s">
        <v>43</v>
      </c>
      <c r="B31" s="148" t="s">
        <v>286</v>
      </c>
      <c r="C31" s="144">
        <v>677805</v>
      </c>
      <c r="D31" s="144">
        <v>2295117</v>
      </c>
      <c r="E31" s="144"/>
      <c r="F31" s="144">
        <v>2972922</v>
      </c>
    </row>
    <row r="32" spans="1:6" x14ac:dyDescent="0.3">
      <c r="A32" s="148" t="s">
        <v>44</v>
      </c>
      <c r="B32" s="148" t="s">
        <v>287</v>
      </c>
      <c r="C32" s="144">
        <v>50000</v>
      </c>
      <c r="D32" s="144">
        <v>3000000</v>
      </c>
      <c r="E32" s="144"/>
      <c r="F32" s="144">
        <v>3050000</v>
      </c>
    </row>
    <row r="33" spans="1:6" x14ac:dyDescent="0.3">
      <c r="A33" s="148" t="s">
        <v>45</v>
      </c>
      <c r="B33" s="148" t="s">
        <v>289</v>
      </c>
      <c r="C33" s="144">
        <v>230000</v>
      </c>
      <c r="D33" s="144"/>
      <c r="E33" s="144"/>
      <c r="F33" s="144">
        <v>230000</v>
      </c>
    </row>
    <row r="34" spans="1:6" x14ac:dyDescent="0.3">
      <c r="A34" s="148" t="s">
        <v>46</v>
      </c>
      <c r="B34" s="148" t="s">
        <v>290</v>
      </c>
      <c r="C34" s="144">
        <v>50000</v>
      </c>
      <c r="D34" s="144">
        <v>8960000</v>
      </c>
      <c r="E34" s="144"/>
      <c r="F34" s="144">
        <v>9010000</v>
      </c>
    </row>
    <row r="35" spans="1:6" x14ac:dyDescent="0.3">
      <c r="A35" s="148" t="s">
        <v>47</v>
      </c>
      <c r="B35" s="148" t="s">
        <v>291</v>
      </c>
      <c r="C35" s="144"/>
      <c r="D35" s="144">
        <v>0</v>
      </c>
      <c r="E35" s="144">
        <v>2260000000</v>
      </c>
      <c r="F35" s="144">
        <v>2260000000</v>
      </c>
    </row>
    <row r="36" spans="1:6" x14ac:dyDescent="0.3">
      <c r="A36" s="148" t="s">
        <v>292</v>
      </c>
      <c r="B36" s="148" t="s">
        <v>294</v>
      </c>
      <c r="C36" s="144">
        <v>50000</v>
      </c>
      <c r="D36" s="144">
        <v>1926352</v>
      </c>
      <c r="E36" s="144"/>
      <c r="F36" s="144">
        <v>1976352</v>
      </c>
    </row>
    <row r="37" spans="1:6" x14ac:dyDescent="0.3">
      <c r="A37" s="148" t="s">
        <v>49</v>
      </c>
      <c r="B37" s="148" t="s">
        <v>48</v>
      </c>
      <c r="C37" s="144">
        <v>315000</v>
      </c>
      <c r="D37" s="144"/>
      <c r="E37" s="144"/>
      <c r="F37" s="144">
        <v>315000</v>
      </c>
    </row>
    <row r="38" spans="1:6" x14ac:dyDescent="0.3">
      <c r="A38" s="148" t="s">
        <v>50</v>
      </c>
      <c r="B38" s="148" t="s">
        <v>63</v>
      </c>
      <c r="C38" s="144">
        <v>0</v>
      </c>
      <c r="D38" s="144">
        <v>1200000</v>
      </c>
      <c r="E38" s="144"/>
      <c r="F38" s="144">
        <v>1200000</v>
      </c>
    </row>
    <row r="39" spans="1:6" x14ac:dyDescent="0.3">
      <c r="A39" s="148" t="s">
        <v>51</v>
      </c>
      <c r="B39" s="148" t="s">
        <v>61</v>
      </c>
      <c r="C39" s="144">
        <v>175000</v>
      </c>
      <c r="D39" s="144"/>
      <c r="E39" s="144"/>
      <c r="F39" s="144">
        <v>175000</v>
      </c>
    </row>
    <row r="40" spans="1:6" x14ac:dyDescent="0.3">
      <c r="A40" s="148" t="s">
        <v>753</v>
      </c>
      <c r="C40" s="144">
        <v>32823850.890000001</v>
      </c>
      <c r="D40" s="144">
        <v>227207315.46000001</v>
      </c>
      <c r="E40" s="144">
        <v>6435646115.6499996</v>
      </c>
      <c r="F40" s="144">
        <v>6695677282</v>
      </c>
    </row>
  </sheetData>
  <pageMargins left="0.511811024" right="0.511811024" top="0.78740157499999996" bottom="0.78740157499999996" header="0.31496062000000002" footer="0.3149606200000000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3B8E4-BF2D-4CA9-8898-10E01B7D0726}">
  <dimension ref="A1:N84"/>
  <sheetViews>
    <sheetView topLeftCell="A42" workbookViewId="0">
      <selection activeCell="E59" sqref="E59"/>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263</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264</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15*80</f>
        <v>1200</v>
      </c>
      <c r="D10" s="18">
        <v>118.66</v>
      </c>
      <c r="E10" s="19">
        <f>D10*C10</f>
        <v>142392</v>
      </c>
      <c r="F10" s="6"/>
      <c r="G10" s="13" t="s">
        <v>98</v>
      </c>
      <c r="H10" s="11">
        <v>24.75</v>
      </c>
      <c r="I10" s="6"/>
      <c r="J10" s="6"/>
      <c r="K10" s="6"/>
      <c r="L10" s="6"/>
      <c r="M10" s="6"/>
      <c r="N10" s="6"/>
    </row>
    <row r="11" spans="1:14" ht="15" thickBot="1" x14ac:dyDescent="0.35">
      <c r="A11" s="6"/>
      <c r="B11" s="15" t="s">
        <v>99</v>
      </c>
      <c r="C11" s="18">
        <f>15*80</f>
        <v>1200</v>
      </c>
      <c r="D11" s="20">
        <v>83.05</v>
      </c>
      <c r="E11" s="19">
        <f>D11*C11</f>
        <v>99660</v>
      </c>
      <c r="F11" s="6"/>
      <c r="G11" s="6"/>
      <c r="H11" s="21"/>
      <c r="I11" s="6"/>
      <c r="J11" s="6"/>
      <c r="K11" s="6"/>
      <c r="L11" s="6"/>
      <c r="M11" s="6"/>
      <c r="N11" s="6"/>
    </row>
    <row r="12" spans="1:14" ht="15" thickBot="1" x14ac:dyDescent="0.35">
      <c r="A12" s="6"/>
      <c r="B12" s="13" t="s">
        <v>257</v>
      </c>
      <c r="C12" s="18">
        <f>15*80*2</f>
        <v>2400</v>
      </c>
      <c r="D12" s="20">
        <v>69.42</v>
      </c>
      <c r="E12" s="19">
        <f>D12*C12</f>
        <v>166608</v>
      </c>
      <c r="F12" s="6"/>
      <c r="G12" s="6"/>
      <c r="H12" s="6"/>
      <c r="I12" s="6"/>
      <c r="J12" s="6"/>
      <c r="K12" s="6"/>
      <c r="L12" s="6"/>
      <c r="M12" s="6"/>
      <c r="N12" s="6"/>
    </row>
    <row r="13" spans="1:14" ht="15" thickBot="1" x14ac:dyDescent="0.35">
      <c r="A13" s="6"/>
      <c r="B13" s="15" t="s">
        <v>258</v>
      </c>
      <c r="C13" s="18">
        <f>15*160*2</f>
        <v>4800</v>
      </c>
      <c r="D13" s="20">
        <v>40.56</v>
      </c>
      <c r="E13" s="19">
        <f>D13*C13</f>
        <v>194688</v>
      </c>
      <c r="F13" s="6"/>
      <c r="G13" s="227" t="s">
        <v>102</v>
      </c>
      <c r="H13" s="228"/>
      <c r="I13" s="229"/>
      <c r="J13" s="11" t="s">
        <v>103</v>
      </c>
      <c r="K13" s="6"/>
      <c r="L13" s="6"/>
      <c r="M13" s="6"/>
      <c r="N13" s="6"/>
    </row>
    <row r="14" spans="1:14" ht="15" thickBot="1" x14ac:dyDescent="0.35">
      <c r="A14" s="6"/>
      <c r="B14" s="15" t="s">
        <v>265</v>
      </c>
      <c r="C14" s="18">
        <f>15*160*2</f>
        <v>4800</v>
      </c>
      <c r="D14" s="20">
        <v>31.5</v>
      </c>
      <c r="E14" s="19">
        <f>D14*C14</f>
        <v>151200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754548</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72">
        <v>30</v>
      </c>
      <c r="D25" s="73">
        <v>150</v>
      </c>
      <c r="E25" s="19">
        <f>C25*D25</f>
        <v>4500</v>
      </c>
      <c r="F25" s="6"/>
      <c r="G25" s="8" t="s">
        <v>125</v>
      </c>
      <c r="H25" s="6"/>
      <c r="I25" s="6"/>
      <c r="J25" s="6"/>
      <c r="K25" s="6"/>
      <c r="L25" s="6"/>
      <c r="M25" s="6"/>
      <c r="N25" s="6"/>
    </row>
    <row r="26" spans="1:14" ht="15" thickBot="1" x14ac:dyDescent="0.35">
      <c r="A26" s="6"/>
      <c r="B26" s="34" t="s">
        <v>132</v>
      </c>
      <c r="C26" s="74">
        <v>500</v>
      </c>
      <c r="D26" s="73">
        <v>5</v>
      </c>
      <c r="E26" s="19">
        <f>C26*D26</f>
        <v>2500</v>
      </c>
      <c r="F26" s="6"/>
      <c r="G26" s="37" t="s">
        <v>127</v>
      </c>
      <c r="H26" s="38"/>
      <c r="I26" s="38"/>
      <c r="J26" s="39"/>
      <c r="K26" s="40"/>
      <c r="L26" s="6"/>
      <c r="M26" s="6"/>
      <c r="N26" s="6"/>
    </row>
    <row r="27" spans="1:14" ht="15" thickBot="1" x14ac:dyDescent="0.35">
      <c r="A27" s="6"/>
      <c r="B27" s="34" t="s">
        <v>126</v>
      </c>
      <c r="C27" s="75">
        <f>2*30</f>
        <v>60</v>
      </c>
      <c r="D27" s="73">
        <v>150</v>
      </c>
      <c r="E27" s="19">
        <f>C27*D27</f>
        <v>9000</v>
      </c>
      <c r="F27" s="6"/>
      <c r="G27" s="34" t="s">
        <v>129</v>
      </c>
      <c r="H27" s="38" t="s">
        <v>130</v>
      </c>
      <c r="I27" s="35"/>
      <c r="J27" s="39">
        <v>3366.25</v>
      </c>
      <c r="K27" s="41">
        <f>I27*J27</f>
        <v>0</v>
      </c>
      <c r="L27" s="42" t="s">
        <v>131</v>
      </c>
      <c r="M27" s="6"/>
      <c r="N27" s="6"/>
    </row>
    <row r="28" spans="1:14" ht="15" thickBot="1" x14ac:dyDescent="0.35">
      <c r="A28" s="6"/>
      <c r="B28" s="34" t="s">
        <v>128</v>
      </c>
      <c r="C28" s="93">
        <f>2*30</f>
        <v>60</v>
      </c>
      <c r="D28" s="73">
        <v>60</v>
      </c>
      <c r="E28" s="19">
        <f t="shared" ref="E28:E37" si="1">C28*D28</f>
        <v>3600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19600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c r="C40" s="48"/>
      <c r="D40" s="36"/>
      <c r="E40" s="19">
        <f>C40*D40</f>
        <v>0</v>
      </c>
      <c r="F40" s="6"/>
      <c r="G40" s="37" t="s">
        <v>149</v>
      </c>
      <c r="H40" s="38"/>
      <c r="I40" s="38"/>
      <c r="J40" s="39"/>
      <c r="K40" s="40"/>
      <c r="L40" s="6"/>
      <c r="M40" s="6"/>
      <c r="N40" s="6"/>
    </row>
    <row r="41" spans="1:14" ht="15" thickBot="1" x14ac:dyDescent="0.35">
      <c r="A41" s="6"/>
      <c r="B41" s="34"/>
      <c r="C41" s="48"/>
      <c r="D41" s="36"/>
      <c r="E41" s="19">
        <f>C41*D41</f>
        <v>0</v>
      </c>
      <c r="F41" s="6"/>
      <c r="G41" s="34" t="s">
        <v>151</v>
      </c>
      <c r="H41" s="38" t="s">
        <v>130</v>
      </c>
      <c r="I41" s="48"/>
      <c r="J41" s="39">
        <v>1860.06</v>
      </c>
      <c r="K41" s="41">
        <f t="shared" ref="K41:K42" si="3">I41*J41</f>
        <v>0</v>
      </c>
      <c r="L41" s="6" t="s">
        <v>131</v>
      </c>
      <c r="M41" s="6"/>
      <c r="N41" s="6"/>
    </row>
    <row r="42" spans="1:14" ht="15" thickBot="1" x14ac:dyDescent="0.35">
      <c r="A42" s="6"/>
      <c r="B42" s="34"/>
      <c r="C42" s="48"/>
      <c r="D42" s="36"/>
      <c r="E42" s="19">
        <f t="shared" ref="E42:E44" si="4">C42*D42</f>
        <v>0</v>
      </c>
      <c r="F42" s="6"/>
      <c r="G42" s="34" t="s">
        <v>152</v>
      </c>
      <c r="H42" s="38" t="s">
        <v>130</v>
      </c>
      <c r="I42" s="48"/>
      <c r="J42" s="39">
        <v>326.83999999999997</v>
      </c>
      <c r="K42" s="41">
        <f t="shared" si="3"/>
        <v>0</v>
      </c>
      <c r="L42" s="6" t="s">
        <v>131</v>
      </c>
      <c r="M42" s="6"/>
      <c r="N42" s="6"/>
    </row>
    <row r="43" spans="1:14" ht="15" thickBot="1" x14ac:dyDescent="0.35">
      <c r="A43" s="6"/>
      <c r="B43" s="34"/>
      <c r="C43" s="35"/>
      <c r="D43" s="36"/>
      <c r="E43" s="19">
        <f t="shared" si="4"/>
        <v>0</v>
      </c>
      <c r="F43" s="6"/>
      <c r="G43" s="34" t="s">
        <v>153</v>
      </c>
      <c r="H43" s="38" t="s">
        <v>142</v>
      </c>
      <c r="I43" s="48"/>
      <c r="J43" s="39">
        <v>2500</v>
      </c>
      <c r="K43" s="41">
        <f>I43*J43</f>
        <v>0</v>
      </c>
      <c r="L43" s="6" t="s">
        <v>139</v>
      </c>
      <c r="M43" s="6"/>
      <c r="N43" s="6"/>
    </row>
    <row r="44" spans="1:14" ht="15" thickBot="1" x14ac:dyDescent="0.35">
      <c r="A44" s="6"/>
      <c r="B44" s="34"/>
      <c r="C44" s="35"/>
      <c r="D44" s="36"/>
      <c r="E44" s="19">
        <f t="shared" si="4"/>
        <v>0</v>
      </c>
      <c r="F44" s="6"/>
      <c r="G44" s="34" t="s">
        <v>154</v>
      </c>
      <c r="H44" s="38" t="s">
        <v>142</v>
      </c>
      <c r="I44" s="48"/>
      <c r="J44" s="39">
        <v>500</v>
      </c>
      <c r="K44" s="41">
        <f>I44*J44</f>
        <v>0</v>
      </c>
      <c r="L44" s="6" t="s">
        <v>139</v>
      </c>
      <c r="M44" s="6"/>
      <c r="N44" s="6"/>
    </row>
    <row r="45" spans="1:14" ht="15" thickBot="1" x14ac:dyDescent="0.35">
      <c r="A45" s="6"/>
      <c r="B45" s="34"/>
      <c r="C45" s="35"/>
      <c r="D45" s="36"/>
      <c r="E45" s="19">
        <f t="shared" ref="E45:E53" si="5">C45*D45</f>
        <v>0</v>
      </c>
      <c r="F45" s="6"/>
      <c r="G45" s="34" t="s">
        <v>156</v>
      </c>
      <c r="H45" s="38" t="s">
        <v>142</v>
      </c>
      <c r="I45" s="48"/>
      <c r="J45" s="39">
        <v>2500</v>
      </c>
      <c r="K45" s="41">
        <f>I45*J45</f>
        <v>0</v>
      </c>
      <c r="L45" s="6" t="s">
        <v>139</v>
      </c>
      <c r="M45" s="6"/>
      <c r="N45" s="6"/>
    </row>
    <row r="46" spans="1:14" ht="15" thickBot="1" x14ac:dyDescent="0.35">
      <c r="A46" s="6"/>
      <c r="B46" s="31"/>
      <c r="C46" s="44"/>
      <c r="D46" s="44"/>
      <c r="E46" s="19">
        <f t="shared" si="5"/>
        <v>0</v>
      </c>
      <c r="F46" s="6"/>
      <c r="G46" s="34" t="s">
        <v>155</v>
      </c>
      <c r="H46" s="38" t="s">
        <v>142</v>
      </c>
      <c r="I46" s="48"/>
      <c r="J46" s="39">
        <v>700</v>
      </c>
      <c r="K46" s="41">
        <f>I46*J46</f>
        <v>0</v>
      </c>
      <c r="L46" s="6" t="s">
        <v>139</v>
      </c>
      <c r="M46" s="6"/>
      <c r="N46" s="6"/>
    </row>
    <row r="47" spans="1:14" ht="15" thickBot="1" x14ac:dyDescent="0.35">
      <c r="A47" s="6"/>
      <c r="B47" s="31"/>
      <c r="C47" s="44"/>
      <c r="D47" s="44"/>
      <c r="E47" s="19">
        <f t="shared" si="5"/>
        <v>0</v>
      </c>
      <c r="F47" s="6"/>
      <c r="G47" s="6"/>
      <c r="H47" s="6"/>
      <c r="I47" s="6"/>
      <c r="J47" s="6"/>
      <c r="K47" s="6"/>
      <c r="L47" s="6"/>
      <c r="M47" s="6"/>
      <c r="N47" s="6"/>
    </row>
    <row r="48" spans="1:14" ht="15" thickBot="1" x14ac:dyDescent="0.35">
      <c r="A48" s="6"/>
      <c r="B48" s="31"/>
      <c r="C48" s="44"/>
      <c r="D48" s="44"/>
      <c r="E48" s="19">
        <f t="shared" si="5"/>
        <v>0</v>
      </c>
      <c r="F48" s="6"/>
      <c r="G48" s="37" t="s">
        <v>157</v>
      </c>
      <c r="H48" s="38"/>
      <c r="I48" s="38"/>
      <c r="J48" s="39"/>
      <c r="K48" s="40"/>
      <c r="L48" s="6"/>
      <c r="M48" s="6"/>
      <c r="N48" s="6"/>
    </row>
    <row r="49" spans="1:14" ht="15" thickBot="1" x14ac:dyDescent="0.35">
      <c r="A49" s="6"/>
      <c r="B49" s="31"/>
      <c r="C49" s="44"/>
      <c r="D49" s="44"/>
      <c r="E49" s="19">
        <f t="shared" si="5"/>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5"/>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5"/>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5"/>
        <v>0</v>
      </c>
      <c r="F52" s="6"/>
      <c r="G52" s="6"/>
      <c r="H52" s="6"/>
      <c r="I52" s="6"/>
      <c r="J52" s="6"/>
      <c r="K52" s="6"/>
      <c r="L52" s="6"/>
      <c r="M52" s="6"/>
      <c r="N52" s="6"/>
    </row>
    <row r="53" spans="1:14" ht="15" thickBot="1" x14ac:dyDescent="0.35">
      <c r="A53" s="6"/>
      <c r="B53" s="31"/>
      <c r="C53" s="44"/>
      <c r="D53" s="44"/>
      <c r="E53" s="19">
        <f t="shared" si="5"/>
        <v>0</v>
      </c>
      <c r="F53" s="6"/>
      <c r="G53" s="37" t="s">
        <v>161</v>
      </c>
      <c r="H53" s="38"/>
      <c r="I53" s="38"/>
      <c r="J53" s="39"/>
      <c r="K53" s="40"/>
      <c r="L53" s="6"/>
      <c r="M53" s="6"/>
      <c r="N53" s="6"/>
    </row>
    <row r="54" spans="1:14" ht="15" thickBot="1" x14ac:dyDescent="0.35">
      <c r="A54" s="6"/>
      <c r="B54" s="49" t="s">
        <v>162</v>
      </c>
      <c r="C54" s="236" t="s">
        <v>163</v>
      </c>
      <c r="D54" s="237"/>
      <c r="E54" s="50">
        <f>SUM(E40:E53)</f>
        <v>0</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19600</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1901460.96</v>
      </c>
      <c r="F57" s="6"/>
      <c r="G57" s="37" t="s">
        <v>171</v>
      </c>
      <c r="H57" s="38"/>
      <c r="I57" s="38"/>
      <c r="J57" s="39"/>
      <c r="K57" s="40"/>
      <c r="L57" s="6"/>
      <c r="M57" s="6"/>
      <c r="N57" s="6"/>
    </row>
    <row r="58" spans="1:14" ht="15" thickBot="1" x14ac:dyDescent="0.35">
      <c r="A58" s="6"/>
      <c r="B58" s="230" t="s">
        <v>172</v>
      </c>
      <c r="C58" s="232"/>
      <c r="D58" s="56" t="s">
        <v>173</v>
      </c>
      <c r="E58" s="57">
        <f>E55*J22</f>
        <v>24892</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1926352.96</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row r="73" spans="1:14" x14ac:dyDescent="0.3">
      <c r="A73" s="6"/>
      <c r="B73" s="6"/>
      <c r="C73" s="6"/>
      <c r="D73" s="6"/>
      <c r="E73" s="6"/>
      <c r="F73" s="6"/>
      <c r="G73" s="6"/>
      <c r="H73" s="6"/>
      <c r="I73" s="6"/>
      <c r="J73" s="6"/>
      <c r="K73" s="6"/>
      <c r="L73" s="6"/>
      <c r="M73" s="6"/>
      <c r="N73" s="6"/>
    </row>
    <row r="74" spans="1:14" x14ac:dyDescent="0.3">
      <c r="A74" s="6"/>
      <c r="B74" s="6"/>
      <c r="C74" s="6"/>
      <c r="D74" s="6"/>
      <c r="E74" s="6"/>
      <c r="F74" s="6"/>
      <c r="G74" s="6"/>
      <c r="H74" s="6"/>
      <c r="I74" s="6"/>
      <c r="J74" s="6"/>
      <c r="K74" s="6"/>
      <c r="L74" s="6"/>
      <c r="M74" s="6"/>
      <c r="N74" s="6"/>
    </row>
    <row r="75" spans="1:14" x14ac:dyDescent="0.3">
      <c r="A75" s="6"/>
      <c r="B75" s="6"/>
      <c r="C75" s="6"/>
      <c r="D75" s="6"/>
      <c r="E75" s="6"/>
      <c r="F75" s="6"/>
      <c r="G75" s="6"/>
      <c r="H75" s="6"/>
      <c r="I75" s="6"/>
      <c r="J75" s="6"/>
      <c r="K75" s="6"/>
      <c r="L75" s="6"/>
      <c r="M75" s="6"/>
      <c r="N75" s="6"/>
    </row>
    <row r="76" spans="1:14" x14ac:dyDescent="0.3">
      <c r="A76" s="6"/>
      <c r="B76" s="6"/>
      <c r="C76" s="6"/>
      <c r="D76" s="6"/>
      <c r="E76" s="6"/>
      <c r="F76" s="6"/>
      <c r="G76" s="6"/>
      <c r="H76" s="6"/>
      <c r="I76" s="6"/>
      <c r="J76" s="6"/>
      <c r="K76" s="6"/>
      <c r="L76" s="6"/>
      <c r="M76" s="6"/>
      <c r="N76" s="6"/>
    </row>
    <row r="77" spans="1:14" x14ac:dyDescent="0.3">
      <c r="A77" s="6"/>
      <c r="B77" s="6"/>
      <c r="C77" s="6"/>
      <c r="D77" s="6"/>
      <c r="E77" s="6"/>
      <c r="F77" s="6"/>
      <c r="G77" s="6"/>
      <c r="H77" s="6"/>
      <c r="I77" s="6"/>
      <c r="J77" s="6"/>
      <c r="K77" s="6"/>
      <c r="L77" s="6"/>
      <c r="M77" s="6"/>
      <c r="N77" s="6"/>
    </row>
    <row r="78" spans="1:14" x14ac:dyDescent="0.3">
      <c r="A78" s="6"/>
      <c r="B78" s="6"/>
      <c r="C78" s="6"/>
      <c r="D78" s="6"/>
      <c r="E78" s="6"/>
      <c r="F78" s="6"/>
      <c r="G78" s="6"/>
      <c r="H78" s="6"/>
      <c r="I78" s="6"/>
      <c r="J78" s="6"/>
      <c r="K78" s="6"/>
      <c r="L78" s="6"/>
      <c r="M78" s="6"/>
      <c r="N78" s="6"/>
    </row>
    <row r="79" spans="1:14" x14ac:dyDescent="0.3">
      <c r="A79" s="6"/>
      <c r="B79" s="6"/>
      <c r="C79" s="6"/>
      <c r="D79" s="6"/>
      <c r="E79" s="6"/>
      <c r="F79" s="6"/>
      <c r="G79" s="6"/>
      <c r="H79" s="6"/>
      <c r="I79" s="6"/>
      <c r="J79" s="6"/>
      <c r="K79" s="6"/>
      <c r="L79" s="6"/>
      <c r="M79" s="6"/>
      <c r="N79" s="6"/>
    </row>
    <row r="80" spans="1:14" x14ac:dyDescent="0.3">
      <c r="A80" s="6"/>
      <c r="B80" s="6"/>
      <c r="C80" s="6"/>
      <c r="D80" s="6"/>
      <c r="E80" s="6"/>
      <c r="F80" s="6"/>
      <c r="G80" s="6"/>
      <c r="H80" s="6"/>
      <c r="I80" s="6"/>
      <c r="J80" s="6"/>
      <c r="K80" s="6"/>
      <c r="L80" s="6"/>
      <c r="M80" s="6"/>
      <c r="N80" s="6"/>
    </row>
    <row r="81" spans="1:14" x14ac:dyDescent="0.3">
      <c r="A81" s="6"/>
      <c r="B81" s="6"/>
      <c r="C81" s="6"/>
      <c r="D81" s="6"/>
      <c r="E81" s="6"/>
      <c r="F81" s="6"/>
      <c r="G81" s="6"/>
      <c r="H81" s="6"/>
      <c r="I81" s="6"/>
      <c r="J81" s="6"/>
      <c r="K81" s="6"/>
      <c r="L81" s="6"/>
      <c r="M81" s="6"/>
      <c r="N81" s="6"/>
    </row>
    <row r="82" spans="1:14" x14ac:dyDescent="0.3">
      <c r="A82" s="6"/>
      <c r="B82" s="6"/>
      <c r="C82" s="6"/>
      <c r="D82" s="6"/>
      <c r="E82" s="6"/>
      <c r="F82" s="6"/>
      <c r="G82" s="6"/>
      <c r="H82" s="6"/>
      <c r="I82" s="6"/>
      <c r="J82" s="6"/>
      <c r="K82" s="6"/>
      <c r="L82" s="6"/>
      <c r="M82" s="6"/>
      <c r="N82" s="6"/>
    </row>
    <row r="83" spans="1:14" x14ac:dyDescent="0.3">
      <c r="A83" s="6"/>
      <c r="B83" s="6"/>
      <c r="C83" s="6"/>
      <c r="D83" s="6"/>
      <c r="E83" s="6"/>
      <c r="F83" s="6"/>
      <c r="G83" s="6"/>
      <c r="H83" s="6"/>
      <c r="I83" s="6"/>
      <c r="J83" s="6"/>
      <c r="K83" s="6"/>
      <c r="L83" s="6"/>
      <c r="M83" s="6"/>
      <c r="N83" s="6"/>
    </row>
    <row r="84" spans="1:14" x14ac:dyDescent="0.3">
      <c r="A84" s="6"/>
      <c r="B84" s="6"/>
      <c r="C84" s="6"/>
      <c r="D84" s="6"/>
      <c r="E84" s="6"/>
      <c r="F84" s="6"/>
      <c r="G84" s="6"/>
      <c r="H84" s="6"/>
      <c r="I84" s="6"/>
      <c r="J84" s="6"/>
      <c r="K84" s="6"/>
      <c r="L84" s="6"/>
      <c r="M84" s="6"/>
      <c r="N84" s="6"/>
    </row>
  </sheetData>
  <mergeCells count="27">
    <mergeCell ref="C21:D21"/>
    <mergeCell ref="G21:H21"/>
    <mergeCell ref="C4:E4"/>
    <mergeCell ref="B5:B6"/>
    <mergeCell ref="D5:D6"/>
    <mergeCell ref="C8:C9"/>
    <mergeCell ref="D8:D9"/>
    <mergeCell ref="E8:E9"/>
    <mergeCell ref="G13:I13"/>
    <mergeCell ref="G14:I14"/>
    <mergeCell ref="G15:I15"/>
    <mergeCell ref="G16:I16"/>
    <mergeCell ref="G17:I17"/>
    <mergeCell ref="G67:J67"/>
    <mergeCell ref="C22:D22"/>
    <mergeCell ref="G22:H22"/>
    <mergeCell ref="C23:C24"/>
    <mergeCell ref="D23:D24"/>
    <mergeCell ref="E23:E24"/>
    <mergeCell ref="C38:D38"/>
    <mergeCell ref="B68:F68"/>
    <mergeCell ref="B69:F69"/>
    <mergeCell ref="C54:D54"/>
    <mergeCell ref="B55:C55"/>
    <mergeCell ref="B57:C57"/>
    <mergeCell ref="B58:C58"/>
    <mergeCell ref="B61:E6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C4894-FC68-466F-9ED1-D9F48F54E665}">
  <dimension ref="A1:E23"/>
  <sheetViews>
    <sheetView workbookViewId="0">
      <selection activeCell="C19" sqref="C19"/>
    </sheetView>
  </sheetViews>
  <sheetFormatPr defaultRowHeight="14.4" x14ac:dyDescent="0.3"/>
  <cols>
    <col min="1" max="1" width="27.33203125" customWidth="1"/>
    <col min="2" max="2" width="11.88671875" customWidth="1"/>
    <col min="3" max="3" width="12.6640625" bestFit="1" customWidth="1"/>
    <col min="4" max="4" width="12.77734375" customWidth="1"/>
    <col min="5" max="5" width="13.109375" customWidth="1"/>
  </cols>
  <sheetData>
    <row r="1" spans="1:5" ht="15" thickBot="1" x14ac:dyDescent="0.35">
      <c r="A1" s="206" t="s">
        <v>60</v>
      </c>
      <c r="B1" s="206" t="s">
        <v>765</v>
      </c>
      <c r="C1" s="206" t="s">
        <v>766</v>
      </c>
      <c r="D1" s="208" t="s">
        <v>767</v>
      </c>
      <c r="E1" s="209"/>
    </row>
    <row r="2" spans="1:5" ht="15" thickBot="1" x14ac:dyDescent="0.35">
      <c r="A2" s="207"/>
      <c r="B2" s="207"/>
      <c r="C2" s="207"/>
      <c r="D2" s="157" t="s">
        <v>768</v>
      </c>
      <c r="E2" s="157" t="s">
        <v>769</v>
      </c>
    </row>
    <row r="3" spans="1:5" ht="15" thickBot="1" x14ac:dyDescent="0.35">
      <c r="A3" s="158" t="s">
        <v>0</v>
      </c>
      <c r="B3" s="159">
        <v>2</v>
      </c>
      <c r="C3" s="159">
        <v>4</v>
      </c>
      <c r="D3" s="160">
        <v>38800000</v>
      </c>
      <c r="E3" s="161">
        <v>6.0000000000000001E-3</v>
      </c>
    </row>
    <row r="4" spans="1:5" ht="15" thickBot="1" x14ac:dyDescent="0.35">
      <c r="A4" s="158" t="s">
        <v>1</v>
      </c>
      <c r="B4" s="159">
        <v>3</v>
      </c>
      <c r="C4" s="159">
        <v>8</v>
      </c>
      <c r="D4" s="160">
        <v>4569762</v>
      </c>
      <c r="E4" s="161">
        <v>1E-3</v>
      </c>
    </row>
    <row r="5" spans="1:5" ht="15" thickBot="1" x14ac:dyDescent="0.35">
      <c r="A5" s="158" t="s">
        <v>770</v>
      </c>
      <c r="B5" s="159">
        <v>4</v>
      </c>
      <c r="C5" s="159">
        <v>11</v>
      </c>
      <c r="D5" s="160">
        <v>4342968246</v>
      </c>
      <c r="E5" s="161">
        <v>0.64900000000000002</v>
      </c>
    </row>
    <row r="6" spans="1:5" ht="15" thickBot="1" x14ac:dyDescent="0.35">
      <c r="A6" s="158" t="s">
        <v>771</v>
      </c>
      <c r="B6" s="159">
        <v>3</v>
      </c>
      <c r="C6" s="159">
        <v>12</v>
      </c>
      <c r="D6" s="160">
        <v>2309339274</v>
      </c>
      <c r="E6" s="161">
        <v>0.34499999999999997</v>
      </c>
    </row>
    <row r="7" spans="1:5" ht="15" thickBot="1" x14ac:dyDescent="0.35">
      <c r="A7" s="162" t="s">
        <v>753</v>
      </c>
      <c r="B7" s="163">
        <v>12</v>
      </c>
      <c r="C7" s="163">
        <v>35</v>
      </c>
      <c r="D7" s="164">
        <v>6695677282</v>
      </c>
      <c r="E7" s="165">
        <v>1</v>
      </c>
    </row>
    <row r="9" spans="1:5" ht="15" thickBot="1" x14ac:dyDescent="0.35"/>
    <row r="10" spans="1:5" ht="15" thickBot="1" x14ac:dyDescent="0.35">
      <c r="A10" s="166" t="s">
        <v>60</v>
      </c>
      <c r="B10" s="166" t="s">
        <v>772</v>
      </c>
      <c r="C10" s="166" t="s">
        <v>773</v>
      </c>
      <c r="D10" s="166" t="s">
        <v>774</v>
      </c>
      <c r="E10" s="166" t="s">
        <v>763</v>
      </c>
    </row>
    <row r="11" spans="1:5" ht="15" thickBot="1" x14ac:dyDescent="0.35">
      <c r="A11" s="167" t="s">
        <v>0</v>
      </c>
      <c r="B11" s="168">
        <v>3800000</v>
      </c>
      <c r="C11" s="168">
        <v>35000000</v>
      </c>
      <c r="D11" s="168">
        <v>0</v>
      </c>
      <c r="E11" s="168">
        <v>38800000</v>
      </c>
    </row>
    <row r="12" spans="1:5" ht="15" thickBot="1" x14ac:dyDescent="0.35">
      <c r="A12" s="167" t="s">
        <v>1</v>
      </c>
      <c r="B12" s="168">
        <v>1600000</v>
      </c>
      <c r="C12" s="168">
        <v>2969762</v>
      </c>
      <c r="D12" s="168">
        <v>0</v>
      </c>
      <c r="E12" s="168">
        <v>4569762</v>
      </c>
    </row>
    <row r="13" spans="1:5" ht="15" thickBot="1" x14ac:dyDescent="0.35">
      <c r="A13" s="167" t="s">
        <v>770</v>
      </c>
      <c r="B13" s="168">
        <v>12186045.890000001</v>
      </c>
      <c r="C13" s="168">
        <v>155136084.46000001</v>
      </c>
      <c r="D13" s="168">
        <v>4175646115.6499996</v>
      </c>
      <c r="E13" s="168">
        <v>4342968246</v>
      </c>
    </row>
    <row r="14" spans="1:5" ht="15" thickBot="1" x14ac:dyDescent="0.35">
      <c r="A14" s="167" t="s">
        <v>260</v>
      </c>
      <c r="B14" s="168">
        <v>15237805</v>
      </c>
      <c r="C14" s="168">
        <v>34101469</v>
      </c>
      <c r="D14" s="168">
        <v>2260000000</v>
      </c>
      <c r="E14" s="168">
        <v>2309339274</v>
      </c>
    </row>
    <row r="15" spans="1:5" ht="15" thickBot="1" x14ac:dyDescent="0.35">
      <c r="A15" s="169" t="s">
        <v>753</v>
      </c>
      <c r="B15" s="170">
        <v>32823850.890000001</v>
      </c>
      <c r="C15" s="170">
        <v>227207315.46000001</v>
      </c>
      <c r="D15" s="170">
        <v>6435646115.6499996</v>
      </c>
      <c r="E15" s="170">
        <v>6695677282</v>
      </c>
    </row>
    <row r="17" spans="1:5" ht="15" thickBot="1" x14ac:dyDescent="0.35"/>
    <row r="18" spans="1:5" ht="15" thickBot="1" x14ac:dyDescent="0.35">
      <c r="A18" s="166" t="s">
        <v>60</v>
      </c>
      <c r="B18" s="166" t="s">
        <v>73</v>
      </c>
      <c r="C18" s="166" t="s">
        <v>72</v>
      </c>
      <c r="D18" s="166"/>
      <c r="E18" s="166" t="s">
        <v>753</v>
      </c>
    </row>
    <row r="19" spans="1:5" ht="15" thickBot="1" x14ac:dyDescent="0.35">
      <c r="A19" s="167" t="s">
        <v>0</v>
      </c>
      <c r="B19" s="168">
        <v>3800000</v>
      </c>
      <c r="C19" s="168">
        <v>35000000</v>
      </c>
      <c r="D19" s="168"/>
      <c r="E19" s="168">
        <f>B19+C19</f>
        <v>38800000</v>
      </c>
    </row>
    <row r="20" spans="1:5" ht="15" thickBot="1" x14ac:dyDescent="0.35">
      <c r="A20" s="167" t="s">
        <v>1</v>
      </c>
      <c r="B20" s="168">
        <v>1600000</v>
      </c>
      <c r="C20" s="168">
        <v>2969762</v>
      </c>
      <c r="D20" s="168"/>
      <c r="E20" s="168">
        <f t="shared" ref="E20:E23" si="0">B20+C20</f>
        <v>4569762</v>
      </c>
    </row>
    <row r="21" spans="1:5" ht="15" thickBot="1" x14ac:dyDescent="0.35">
      <c r="A21" s="167" t="s">
        <v>770</v>
      </c>
      <c r="B21" s="168">
        <v>12186045.890000001</v>
      </c>
      <c r="C21" s="168">
        <v>155136084.46000001</v>
      </c>
      <c r="D21" s="168"/>
      <c r="E21" s="168">
        <f t="shared" si="0"/>
        <v>167322130.35000002</v>
      </c>
    </row>
    <row r="22" spans="1:5" ht="15" thickBot="1" x14ac:dyDescent="0.35">
      <c r="A22" s="167" t="s">
        <v>260</v>
      </c>
      <c r="B22" s="168">
        <v>15237805</v>
      </c>
      <c r="C22" s="168">
        <v>34101469</v>
      </c>
      <c r="D22" s="168"/>
      <c r="E22" s="168">
        <f t="shared" si="0"/>
        <v>49339274</v>
      </c>
    </row>
    <row r="23" spans="1:5" ht="15" thickBot="1" x14ac:dyDescent="0.35">
      <c r="A23" s="169" t="s">
        <v>753</v>
      </c>
      <c r="B23" s="170">
        <v>32823850.890000001</v>
      </c>
      <c r="C23" s="170">
        <v>227207315.46000001</v>
      </c>
      <c r="D23" s="170"/>
      <c r="E23" s="170">
        <f t="shared" si="0"/>
        <v>260031166.35000002</v>
      </c>
    </row>
  </sheetData>
  <mergeCells count="4">
    <mergeCell ref="A1:A2"/>
    <mergeCell ref="B1:B2"/>
    <mergeCell ref="C1:C2"/>
    <mergeCell ref="D1:E1"/>
  </mergeCells>
  <pageMargins left="0.511811024" right="0.511811024" top="0.78740157499999996" bottom="0.78740157499999996" header="0.31496062000000002" footer="0.31496062000000002"/>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11D72-27C3-43A2-A414-AA00EA66BBC2}">
  <dimension ref="A1:F14"/>
  <sheetViews>
    <sheetView workbookViewId="0">
      <selection activeCell="C1" sqref="C1:F1"/>
    </sheetView>
  </sheetViews>
  <sheetFormatPr defaultRowHeight="14.4" x14ac:dyDescent="0.3"/>
  <cols>
    <col min="1" max="1" width="4.44140625" customWidth="1"/>
    <col min="2" max="2" width="60.88671875" bestFit="1" customWidth="1"/>
    <col min="3" max="3" width="12.109375" bestFit="1" customWidth="1"/>
    <col min="4" max="4" width="15.5546875" bestFit="1" customWidth="1"/>
    <col min="5" max="6" width="13.5546875" bestFit="1" customWidth="1"/>
  </cols>
  <sheetData>
    <row r="1" spans="1:6" ht="15" thickBot="1" x14ac:dyDescent="0.35">
      <c r="A1" s="211" t="s">
        <v>15</v>
      </c>
      <c r="B1" s="211"/>
      <c r="C1" s="166" t="s">
        <v>772</v>
      </c>
      <c r="D1" s="166" t="s">
        <v>773</v>
      </c>
      <c r="E1" s="166" t="s">
        <v>774</v>
      </c>
      <c r="F1" s="166" t="s">
        <v>763</v>
      </c>
    </row>
    <row r="2" spans="1:6" ht="15" thickBot="1" x14ac:dyDescent="0.35">
      <c r="A2" s="171" t="s">
        <v>2</v>
      </c>
      <c r="B2" s="171" t="s">
        <v>266</v>
      </c>
      <c r="C2" s="172">
        <v>1870000</v>
      </c>
      <c r="D2" s="172">
        <v>7000000</v>
      </c>
      <c r="E2" s="172"/>
      <c r="F2" s="172">
        <v>8870000</v>
      </c>
    </row>
    <row r="3" spans="1:6" ht="15" thickBot="1" x14ac:dyDescent="0.35">
      <c r="A3" s="171" t="s">
        <v>3</v>
      </c>
      <c r="B3" s="171" t="s">
        <v>62</v>
      </c>
      <c r="C3" s="172">
        <v>1930000</v>
      </c>
      <c r="D3" s="172">
        <v>28000000</v>
      </c>
      <c r="E3" s="172"/>
      <c r="F3" s="172">
        <v>29930000</v>
      </c>
    </row>
    <row r="4" spans="1:6" ht="15" thickBot="1" x14ac:dyDescent="0.35">
      <c r="A4" s="171" t="s">
        <v>4</v>
      </c>
      <c r="B4" s="171" t="s">
        <v>59</v>
      </c>
      <c r="C4" s="172">
        <v>580000</v>
      </c>
      <c r="D4" s="172">
        <v>2969762</v>
      </c>
      <c r="E4" s="172">
        <v>0</v>
      </c>
      <c r="F4" s="172">
        <v>3549762</v>
      </c>
    </row>
    <row r="5" spans="1:6" ht="15" thickBot="1" x14ac:dyDescent="0.35">
      <c r="A5" s="171" t="s">
        <v>5</v>
      </c>
      <c r="B5" s="171" t="s">
        <v>262</v>
      </c>
      <c r="C5" s="172">
        <v>640000</v>
      </c>
      <c r="D5" s="172"/>
      <c r="E5" s="172"/>
      <c r="F5" s="172">
        <v>640000</v>
      </c>
    </row>
    <row r="6" spans="1:6" ht="15" thickBot="1" x14ac:dyDescent="0.35">
      <c r="A6" s="171" t="s">
        <v>6</v>
      </c>
      <c r="B6" s="171" t="s">
        <v>275</v>
      </c>
      <c r="C6" s="172">
        <v>380000</v>
      </c>
      <c r="D6" s="172"/>
      <c r="E6" s="172"/>
      <c r="F6" s="172">
        <v>380000</v>
      </c>
    </row>
    <row r="7" spans="1:6" ht="15" thickBot="1" x14ac:dyDescent="0.35">
      <c r="A7" s="171" t="s">
        <v>7</v>
      </c>
      <c r="B7" s="171" t="s">
        <v>66</v>
      </c>
      <c r="C7" s="172">
        <v>150000</v>
      </c>
      <c r="D7" s="172">
        <v>43580250.899999999</v>
      </c>
      <c r="E7" s="172">
        <v>1637916223.0999999</v>
      </c>
      <c r="F7" s="172">
        <v>1681646474</v>
      </c>
    </row>
    <row r="8" spans="1:6" ht="15" thickBot="1" x14ac:dyDescent="0.35">
      <c r="A8" s="171" t="s">
        <v>8</v>
      </c>
      <c r="B8" s="171" t="s">
        <v>69</v>
      </c>
      <c r="C8" s="172">
        <v>11396045.890000001</v>
      </c>
      <c r="D8" s="172">
        <v>15194727.560000001</v>
      </c>
      <c r="E8" s="172">
        <v>360874779.55000001</v>
      </c>
      <c r="F8" s="172">
        <v>387465553</v>
      </c>
    </row>
    <row r="9" spans="1:6" ht="15" thickBot="1" x14ac:dyDescent="0.35">
      <c r="A9" s="171" t="s">
        <v>9</v>
      </c>
      <c r="B9" s="171" t="s">
        <v>71</v>
      </c>
      <c r="C9" s="172">
        <v>100000</v>
      </c>
      <c r="D9" s="172">
        <v>96361106</v>
      </c>
      <c r="E9" s="172">
        <v>2176855113</v>
      </c>
      <c r="F9" s="172">
        <v>2273316219</v>
      </c>
    </row>
    <row r="10" spans="1:6" ht="15" thickBot="1" x14ac:dyDescent="0.35">
      <c r="A10" s="171" t="s">
        <v>10</v>
      </c>
      <c r="B10" s="171" t="s">
        <v>70</v>
      </c>
      <c r="C10" s="172">
        <v>540000</v>
      </c>
      <c r="D10" s="172"/>
      <c r="E10" s="172"/>
      <c r="F10" s="172">
        <v>540000</v>
      </c>
    </row>
    <row r="11" spans="1:6" ht="15" thickBot="1" x14ac:dyDescent="0.35">
      <c r="A11" s="171" t="s">
        <v>11</v>
      </c>
      <c r="B11" s="171" t="s">
        <v>282</v>
      </c>
      <c r="C11" s="172">
        <v>14417805</v>
      </c>
      <c r="D11" s="172">
        <v>22015117</v>
      </c>
      <c r="E11" s="172"/>
      <c r="F11" s="172">
        <v>36432922</v>
      </c>
    </row>
    <row r="12" spans="1:6" ht="15" thickBot="1" x14ac:dyDescent="0.35">
      <c r="A12" s="171" t="s">
        <v>12</v>
      </c>
      <c r="B12" s="171" t="s">
        <v>288</v>
      </c>
      <c r="C12" s="172">
        <v>330000</v>
      </c>
      <c r="D12" s="172">
        <v>10886352</v>
      </c>
      <c r="E12" s="172">
        <v>2260000000</v>
      </c>
      <c r="F12" s="172">
        <v>2271216352</v>
      </c>
    </row>
    <row r="13" spans="1:6" ht="15" thickBot="1" x14ac:dyDescent="0.35">
      <c r="A13" s="171" t="s">
        <v>13</v>
      </c>
      <c r="B13" s="171" t="s">
        <v>14</v>
      </c>
      <c r="C13" s="172">
        <v>490000</v>
      </c>
      <c r="D13" s="172">
        <v>1200000</v>
      </c>
      <c r="E13" s="172"/>
      <c r="F13" s="172">
        <v>1690000</v>
      </c>
    </row>
    <row r="14" spans="1:6" ht="15" thickBot="1" x14ac:dyDescent="0.35">
      <c r="A14" s="210" t="s">
        <v>753</v>
      </c>
      <c r="B14" s="210"/>
      <c r="C14" s="173">
        <v>32823850.890000001</v>
      </c>
      <c r="D14" s="173">
        <v>227207315.46000001</v>
      </c>
      <c r="E14" s="173">
        <v>6435646115.6499996</v>
      </c>
      <c r="F14" s="173">
        <v>6695677282</v>
      </c>
    </row>
  </sheetData>
  <mergeCells count="2">
    <mergeCell ref="A14:B14"/>
    <mergeCell ref="A1:B1"/>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1DF77D-0FBF-424D-ADC8-9411048246B5}">
  <dimension ref="A1:H37"/>
  <sheetViews>
    <sheetView workbookViewId="0">
      <selection activeCell="B41" sqref="B41"/>
    </sheetView>
  </sheetViews>
  <sheetFormatPr defaultRowHeight="14.4" x14ac:dyDescent="0.3"/>
  <cols>
    <col min="1" max="1" width="6.109375" customWidth="1"/>
    <col min="2" max="2" width="48.5546875" style="174" customWidth="1"/>
    <col min="3" max="3" width="11.44140625" bestFit="1" customWidth="1"/>
    <col min="4" max="4" width="12.44140625" bestFit="1" customWidth="1"/>
    <col min="5" max="6" width="13.5546875" bestFit="1" customWidth="1"/>
    <col min="7" max="7" width="14.33203125" customWidth="1"/>
  </cols>
  <sheetData>
    <row r="1" spans="1:8" ht="15" thickBot="1" x14ac:dyDescent="0.35">
      <c r="A1" s="212" t="s">
        <v>776</v>
      </c>
      <c r="B1" s="212"/>
      <c r="C1" s="177" t="s">
        <v>772</v>
      </c>
      <c r="D1" s="177" t="s">
        <v>773</v>
      </c>
      <c r="E1" s="177" t="s">
        <v>774</v>
      </c>
      <c r="F1" s="177" t="s">
        <v>763</v>
      </c>
    </row>
    <row r="2" spans="1:8" ht="24.6" thickBot="1" x14ac:dyDescent="0.35">
      <c r="A2" s="179" t="s">
        <v>17</v>
      </c>
      <c r="B2" s="180" t="s">
        <v>34</v>
      </c>
      <c r="C2" s="178">
        <v>270000</v>
      </c>
      <c r="D2" s="178">
        <v>1250000</v>
      </c>
      <c r="E2" s="178"/>
      <c r="F2" s="178">
        <v>1520000</v>
      </c>
      <c r="G2" s="182">
        <f>SUM($F$2:$F$5)</f>
        <v>38800000</v>
      </c>
      <c r="H2" s="183">
        <f>F2/G2</f>
        <v>3.9175257731958762E-2</v>
      </c>
    </row>
    <row r="3" spans="1:8" ht="36.6" thickBot="1" x14ac:dyDescent="0.35">
      <c r="A3" s="179" t="s">
        <v>18</v>
      </c>
      <c r="B3" s="180" t="s">
        <v>267</v>
      </c>
      <c r="C3" s="178">
        <v>1600000</v>
      </c>
      <c r="D3" s="178">
        <v>5750000</v>
      </c>
      <c r="E3" s="178"/>
      <c r="F3" s="178">
        <v>7350000</v>
      </c>
      <c r="G3" s="182">
        <f t="shared" ref="G3:G4" si="0">SUM($F$2:$F$5)</f>
        <v>38800000</v>
      </c>
      <c r="H3" s="183">
        <f>F3/G3</f>
        <v>0.18943298969072164</v>
      </c>
    </row>
    <row r="4" spans="1:8" ht="24.6" thickBot="1" x14ac:dyDescent="0.35">
      <c r="A4" s="179" t="s">
        <v>19</v>
      </c>
      <c r="B4" s="180" t="s">
        <v>65</v>
      </c>
      <c r="C4" s="178">
        <v>180000</v>
      </c>
      <c r="D4" s="178"/>
      <c r="E4" s="178"/>
      <c r="F4" s="178">
        <v>180000</v>
      </c>
      <c r="G4" s="182">
        <f t="shared" si="0"/>
        <v>38800000</v>
      </c>
      <c r="H4" s="183">
        <f t="shared" ref="H4:H5" si="1">F4/G4</f>
        <v>4.6391752577319588E-3</v>
      </c>
    </row>
    <row r="5" spans="1:8" ht="24.6" thickBot="1" x14ac:dyDescent="0.35">
      <c r="A5" s="179" t="s">
        <v>20</v>
      </c>
      <c r="B5" s="180" t="s">
        <v>261</v>
      </c>
      <c r="C5" s="178">
        <v>1750000</v>
      </c>
      <c r="D5" s="178">
        <v>28000000</v>
      </c>
      <c r="E5" s="178"/>
      <c r="F5" s="178">
        <v>29750000</v>
      </c>
      <c r="G5" s="182">
        <f>SUM($F$2:$F$5)</f>
        <v>38800000</v>
      </c>
      <c r="H5" s="183">
        <f t="shared" si="1"/>
        <v>0.76675257731958768</v>
      </c>
    </row>
    <row r="6" spans="1:8" ht="15" thickBot="1" x14ac:dyDescent="0.35">
      <c r="A6" s="179" t="s">
        <v>21</v>
      </c>
      <c r="B6" s="180" t="s">
        <v>268</v>
      </c>
      <c r="C6" s="178">
        <v>140000</v>
      </c>
      <c r="D6" s="178">
        <v>593876</v>
      </c>
      <c r="E6" s="178"/>
      <c r="F6" s="178">
        <v>733876</v>
      </c>
      <c r="G6" s="79">
        <f>SUM($F$6:$F$13)</f>
        <v>4569762</v>
      </c>
      <c r="H6" s="183">
        <f>F6/G6</f>
        <v>0.16059392152151469</v>
      </c>
    </row>
    <row r="7" spans="1:8" ht="15" thickBot="1" x14ac:dyDescent="0.35">
      <c r="A7" s="179" t="s">
        <v>22</v>
      </c>
      <c r="B7" s="180" t="s">
        <v>269</v>
      </c>
      <c r="C7" s="178">
        <v>140000</v>
      </c>
      <c r="D7" s="178">
        <v>593876</v>
      </c>
      <c r="E7" s="178"/>
      <c r="F7" s="178">
        <v>733876</v>
      </c>
      <c r="G7" s="79">
        <f t="shared" ref="G7:G13" si="2">SUM($F$6:$F$13)</f>
        <v>4569762</v>
      </c>
      <c r="H7" s="183">
        <f t="shared" ref="H7:H36" si="3">F7/G7</f>
        <v>0.16059392152151469</v>
      </c>
    </row>
    <row r="8" spans="1:8" ht="15" thickBot="1" x14ac:dyDescent="0.35">
      <c r="A8" s="179" t="s">
        <v>23</v>
      </c>
      <c r="B8" s="180" t="s">
        <v>270</v>
      </c>
      <c r="C8" s="178">
        <v>140000</v>
      </c>
      <c r="D8" s="178">
        <v>593876</v>
      </c>
      <c r="E8" s="178"/>
      <c r="F8" s="178">
        <v>733876</v>
      </c>
      <c r="G8" s="79">
        <f t="shared" si="2"/>
        <v>4569762</v>
      </c>
      <c r="H8" s="183">
        <f t="shared" si="3"/>
        <v>0.16059392152151469</v>
      </c>
    </row>
    <row r="9" spans="1:8" ht="24.6" thickBot="1" x14ac:dyDescent="0.35">
      <c r="A9" s="179" t="s">
        <v>272</v>
      </c>
      <c r="B9" s="180" t="s">
        <v>271</v>
      </c>
      <c r="C9" s="178">
        <v>160000</v>
      </c>
      <c r="D9" s="178">
        <v>1188134</v>
      </c>
      <c r="E9" s="178"/>
      <c r="F9" s="178">
        <v>1348134</v>
      </c>
      <c r="G9" s="79">
        <f t="shared" si="2"/>
        <v>4569762</v>
      </c>
      <c r="H9" s="183">
        <f t="shared" si="3"/>
        <v>0.29501186276221825</v>
      </c>
    </row>
    <row r="10" spans="1:8" ht="15" thickBot="1" x14ac:dyDescent="0.35">
      <c r="A10" s="179" t="s">
        <v>24</v>
      </c>
      <c r="B10" s="180" t="s">
        <v>273</v>
      </c>
      <c r="C10" s="178">
        <v>260000</v>
      </c>
      <c r="D10" s="178"/>
      <c r="E10" s="178"/>
      <c r="F10" s="178">
        <v>260000</v>
      </c>
      <c r="G10" s="79">
        <f t="shared" si="2"/>
        <v>4569762</v>
      </c>
      <c r="H10" s="183">
        <f t="shared" si="3"/>
        <v>5.6895742053962549E-2</v>
      </c>
    </row>
    <row r="11" spans="1:8" ht="15" thickBot="1" x14ac:dyDescent="0.35">
      <c r="A11" s="179" t="s">
        <v>25</v>
      </c>
      <c r="B11" s="180" t="s">
        <v>274</v>
      </c>
      <c r="C11" s="178">
        <v>380000</v>
      </c>
      <c r="D11" s="178"/>
      <c r="E11" s="178"/>
      <c r="F11" s="178">
        <v>380000</v>
      </c>
      <c r="G11" s="79">
        <f t="shared" si="2"/>
        <v>4569762</v>
      </c>
      <c r="H11" s="183">
        <f t="shared" si="3"/>
        <v>8.3155315309637573E-2</v>
      </c>
    </row>
    <row r="12" spans="1:8" ht="15" thickBot="1" x14ac:dyDescent="0.35">
      <c r="A12" s="179" t="s">
        <v>26</v>
      </c>
      <c r="B12" s="180" t="s">
        <v>276</v>
      </c>
      <c r="C12" s="178">
        <v>160000</v>
      </c>
      <c r="D12" s="178"/>
      <c r="E12" s="178"/>
      <c r="F12" s="178">
        <v>160000</v>
      </c>
      <c r="G12" s="79">
        <f t="shared" si="2"/>
        <v>4569762</v>
      </c>
      <c r="H12" s="183">
        <f t="shared" si="3"/>
        <v>3.5012764340900032E-2</v>
      </c>
    </row>
    <row r="13" spans="1:8" ht="15" thickBot="1" x14ac:dyDescent="0.35">
      <c r="A13" s="179" t="s">
        <v>27</v>
      </c>
      <c r="B13" s="180" t="s">
        <v>299</v>
      </c>
      <c r="C13" s="178">
        <v>220000</v>
      </c>
      <c r="D13" s="178"/>
      <c r="E13" s="178"/>
      <c r="F13" s="178">
        <v>220000</v>
      </c>
      <c r="G13" s="79">
        <f t="shared" si="2"/>
        <v>4569762</v>
      </c>
      <c r="H13" s="183">
        <f t="shared" si="3"/>
        <v>4.8142550968737541E-2</v>
      </c>
    </row>
    <row r="14" spans="1:8" ht="24.6" thickBot="1" x14ac:dyDescent="0.35">
      <c r="A14" s="179" t="s">
        <v>28</v>
      </c>
      <c r="B14" s="180" t="s">
        <v>67</v>
      </c>
      <c r="C14" s="178">
        <v>50000</v>
      </c>
      <c r="D14" s="178">
        <v>2752486</v>
      </c>
      <c r="E14" s="178"/>
      <c r="F14" s="178">
        <v>2802486</v>
      </c>
      <c r="G14" s="79">
        <f>SUM($F$14:$F$24)</f>
        <v>4342968246</v>
      </c>
      <c r="H14" s="149">
        <f t="shared" si="3"/>
        <v>6.4529276781638252E-4</v>
      </c>
    </row>
    <row r="15" spans="1:8" ht="24.6" thickBot="1" x14ac:dyDescent="0.35">
      <c r="A15" s="179" t="s">
        <v>29</v>
      </c>
      <c r="B15" s="180" t="s">
        <v>277</v>
      </c>
      <c r="C15" s="178">
        <v>50000</v>
      </c>
      <c r="D15" s="178">
        <v>1285169</v>
      </c>
      <c r="E15" s="178"/>
      <c r="F15" s="178">
        <v>1335169</v>
      </c>
      <c r="G15" s="79">
        <f t="shared" ref="G15:G24" si="4">SUM($F$14:$F$24)</f>
        <v>4342968246</v>
      </c>
      <c r="H15" s="149">
        <f t="shared" si="3"/>
        <v>3.0743236523309361E-4</v>
      </c>
    </row>
    <row r="16" spans="1:8" ht="24.6" thickBot="1" x14ac:dyDescent="0.35">
      <c r="A16" s="179" t="s">
        <v>30</v>
      </c>
      <c r="B16" s="180" t="s">
        <v>68</v>
      </c>
      <c r="C16" s="178">
        <v>50000</v>
      </c>
      <c r="D16" s="178">
        <v>3107460</v>
      </c>
      <c r="E16" s="178"/>
      <c r="F16" s="178">
        <v>3157460</v>
      </c>
      <c r="G16" s="79">
        <f t="shared" si="4"/>
        <v>4342968246</v>
      </c>
      <c r="H16" s="149">
        <f t="shared" si="3"/>
        <v>7.2702811099485069E-4</v>
      </c>
    </row>
    <row r="17" spans="1:8" ht="24.6" thickBot="1" x14ac:dyDescent="0.35">
      <c r="A17" s="179" t="s">
        <v>35</v>
      </c>
      <c r="B17" s="180" t="s">
        <v>278</v>
      </c>
      <c r="C17" s="178"/>
      <c r="D17" s="178">
        <v>36435135.899999999</v>
      </c>
      <c r="E17" s="178">
        <v>1637916223.0999999</v>
      </c>
      <c r="F17" s="178">
        <v>1674351359</v>
      </c>
      <c r="G17" s="79">
        <f t="shared" si="4"/>
        <v>4342968246</v>
      </c>
      <c r="H17" s="149">
        <f t="shared" si="3"/>
        <v>0.38553156830979052</v>
      </c>
    </row>
    <row r="18" spans="1:8" ht="36.6" thickBot="1" x14ac:dyDescent="0.35">
      <c r="A18" s="179" t="s">
        <v>32</v>
      </c>
      <c r="B18" s="180" t="s">
        <v>279</v>
      </c>
      <c r="C18" s="178">
        <v>7597364</v>
      </c>
      <c r="D18" s="178"/>
      <c r="E18" s="178"/>
      <c r="F18" s="178">
        <v>7597364</v>
      </c>
      <c r="G18" s="79">
        <f t="shared" si="4"/>
        <v>4342968246</v>
      </c>
      <c r="H18" s="149">
        <f t="shared" si="3"/>
        <v>1.7493482728079795E-3</v>
      </c>
    </row>
    <row r="19" spans="1:8" ht="24.6" thickBot="1" x14ac:dyDescent="0.35">
      <c r="A19" s="179" t="s">
        <v>33</v>
      </c>
      <c r="B19" s="180" t="s">
        <v>280</v>
      </c>
      <c r="C19" s="178">
        <v>3798681.89</v>
      </c>
      <c r="D19" s="178">
        <v>15194727.560000001</v>
      </c>
      <c r="E19" s="178">
        <v>360874779.55000001</v>
      </c>
      <c r="F19" s="178">
        <v>379868189</v>
      </c>
      <c r="G19" s="79">
        <f t="shared" si="4"/>
        <v>4342968246</v>
      </c>
      <c r="H19" s="149">
        <f t="shared" si="3"/>
        <v>8.7467411107569032E-2</v>
      </c>
    </row>
    <row r="20" spans="1:8" ht="15" thickBot="1" x14ac:dyDescent="0.35">
      <c r="A20" s="179" t="s">
        <v>36</v>
      </c>
      <c r="B20" s="180" t="s">
        <v>281</v>
      </c>
      <c r="C20" s="178">
        <v>50000</v>
      </c>
      <c r="D20" s="178">
        <v>5500000</v>
      </c>
      <c r="E20" s="178"/>
      <c r="F20" s="178">
        <v>5550000</v>
      </c>
      <c r="G20" s="79">
        <f t="shared" si="4"/>
        <v>4342968246</v>
      </c>
      <c r="H20" s="149">
        <f t="shared" si="3"/>
        <v>1.2779278331384789E-3</v>
      </c>
    </row>
    <row r="21" spans="1:8" ht="24.6" thickBot="1" x14ac:dyDescent="0.35">
      <c r="A21" s="179" t="s">
        <v>37</v>
      </c>
      <c r="B21" s="180" t="s">
        <v>56</v>
      </c>
      <c r="C21" s="178"/>
      <c r="D21" s="178">
        <v>89292756</v>
      </c>
      <c r="E21" s="178">
        <v>2176855113</v>
      </c>
      <c r="F21" s="178">
        <v>2266147869</v>
      </c>
      <c r="G21" s="79">
        <f t="shared" si="4"/>
        <v>4342968246</v>
      </c>
      <c r="H21" s="149">
        <f t="shared" si="3"/>
        <v>0.52179701545991919</v>
      </c>
    </row>
    <row r="22" spans="1:8" ht="24.6" thickBot="1" x14ac:dyDescent="0.35">
      <c r="A22" s="179" t="s">
        <v>293</v>
      </c>
      <c r="B22" s="180" t="s">
        <v>57</v>
      </c>
      <c r="C22" s="178">
        <v>50000</v>
      </c>
      <c r="D22" s="178">
        <v>1568350</v>
      </c>
      <c r="E22" s="178"/>
      <c r="F22" s="178">
        <v>1618350</v>
      </c>
      <c r="G22" s="79">
        <f t="shared" si="4"/>
        <v>4342968246</v>
      </c>
      <c r="H22" s="149">
        <f t="shared" si="3"/>
        <v>3.7263684842516343E-4</v>
      </c>
    </row>
    <row r="23" spans="1:8" ht="24.6" thickBot="1" x14ac:dyDescent="0.35">
      <c r="A23" s="179" t="s">
        <v>38</v>
      </c>
      <c r="B23" s="180" t="s">
        <v>259</v>
      </c>
      <c r="C23" s="178">
        <v>280000</v>
      </c>
      <c r="D23" s="178"/>
      <c r="E23" s="178"/>
      <c r="F23" s="178">
        <v>280000</v>
      </c>
      <c r="G23" s="79">
        <f t="shared" si="4"/>
        <v>4342968246</v>
      </c>
      <c r="H23" s="149">
        <f t="shared" si="3"/>
        <v>6.4472034825004333E-5</v>
      </c>
    </row>
    <row r="24" spans="1:8" ht="24.6" thickBot="1" x14ac:dyDescent="0.35">
      <c r="A24" s="179" t="s">
        <v>39</v>
      </c>
      <c r="B24" s="180" t="s">
        <v>255</v>
      </c>
      <c r="C24" s="178">
        <v>260000</v>
      </c>
      <c r="D24" s="178"/>
      <c r="E24" s="178"/>
      <c r="F24" s="178">
        <v>260000</v>
      </c>
      <c r="G24" s="79">
        <f t="shared" si="4"/>
        <v>4342968246</v>
      </c>
      <c r="H24" s="149">
        <f t="shared" si="3"/>
        <v>5.9866889480361171E-5</v>
      </c>
    </row>
    <row r="25" spans="1:8" ht="24.6" thickBot="1" x14ac:dyDescent="0.35">
      <c r="A25" s="179" t="s">
        <v>40</v>
      </c>
      <c r="B25" s="180" t="s">
        <v>283</v>
      </c>
      <c r="C25" s="178">
        <v>50000</v>
      </c>
      <c r="D25" s="178">
        <v>12320000</v>
      </c>
      <c r="E25" s="178"/>
      <c r="F25" s="178">
        <v>12370000</v>
      </c>
      <c r="G25" s="79">
        <f>SUM($F$25:$F$36)</f>
        <v>2309339274</v>
      </c>
      <c r="H25" s="149">
        <f t="shared" si="3"/>
        <v>5.356510470015936E-3</v>
      </c>
    </row>
    <row r="26" spans="1:8" ht="24.6" thickBot="1" x14ac:dyDescent="0.35">
      <c r="A26" s="179" t="s">
        <v>41</v>
      </c>
      <c r="B26" s="180" t="s">
        <v>284</v>
      </c>
      <c r="C26" s="178">
        <v>12760000</v>
      </c>
      <c r="D26" s="178"/>
      <c r="E26" s="178"/>
      <c r="F26" s="178">
        <v>12760000</v>
      </c>
      <c r="G26" s="79">
        <f t="shared" ref="G26:G36" si="5">SUM($F$25:$F$36)</f>
        <v>2309339274</v>
      </c>
      <c r="H26" s="149">
        <f t="shared" si="3"/>
        <v>5.5253899432015632E-3</v>
      </c>
    </row>
    <row r="27" spans="1:8" ht="24.6" thickBot="1" x14ac:dyDescent="0.35">
      <c r="A27" s="179" t="s">
        <v>42</v>
      </c>
      <c r="B27" s="180" t="s">
        <v>285</v>
      </c>
      <c r="C27" s="178">
        <v>880000</v>
      </c>
      <c r="D27" s="178">
        <v>4400000</v>
      </c>
      <c r="E27" s="178"/>
      <c r="F27" s="178">
        <v>5280000</v>
      </c>
      <c r="G27" s="79">
        <f t="shared" si="5"/>
        <v>2309339274</v>
      </c>
      <c r="H27" s="149">
        <f t="shared" si="3"/>
        <v>2.2863682523592676E-3</v>
      </c>
    </row>
    <row r="28" spans="1:8" ht="24.6" thickBot="1" x14ac:dyDescent="0.35">
      <c r="A28" s="179" t="s">
        <v>43</v>
      </c>
      <c r="B28" s="180" t="s">
        <v>286</v>
      </c>
      <c r="C28" s="178">
        <v>677805</v>
      </c>
      <c r="D28" s="178">
        <v>2295117</v>
      </c>
      <c r="E28" s="178"/>
      <c r="F28" s="178">
        <v>2972922</v>
      </c>
      <c r="G28" s="79">
        <f t="shared" si="5"/>
        <v>2309339274</v>
      </c>
      <c r="H28" s="149">
        <f t="shared" si="3"/>
        <v>1.2873474389281097E-3</v>
      </c>
    </row>
    <row r="29" spans="1:8" ht="24.6" thickBot="1" x14ac:dyDescent="0.35">
      <c r="A29" s="179" t="s">
        <v>44</v>
      </c>
      <c r="B29" s="180" t="s">
        <v>287</v>
      </c>
      <c r="C29" s="178">
        <v>50000</v>
      </c>
      <c r="D29" s="178">
        <v>3000000</v>
      </c>
      <c r="E29" s="178"/>
      <c r="F29" s="178">
        <v>3050000</v>
      </c>
      <c r="G29" s="79">
        <f t="shared" si="5"/>
        <v>2309339274</v>
      </c>
      <c r="H29" s="149">
        <f t="shared" si="3"/>
        <v>1.3207240851696527E-3</v>
      </c>
    </row>
    <row r="30" spans="1:8" ht="24.6" thickBot="1" x14ac:dyDescent="0.35">
      <c r="A30" s="179" t="s">
        <v>45</v>
      </c>
      <c r="B30" s="180" t="s">
        <v>289</v>
      </c>
      <c r="C30" s="178">
        <v>230000</v>
      </c>
      <c r="D30" s="178"/>
      <c r="E30" s="178"/>
      <c r="F30" s="178">
        <v>230000</v>
      </c>
      <c r="G30" s="79">
        <f t="shared" si="5"/>
        <v>2309339274</v>
      </c>
      <c r="H30" s="149">
        <f t="shared" si="3"/>
        <v>9.9595586750498405E-5</v>
      </c>
    </row>
    <row r="31" spans="1:8" ht="15" thickBot="1" x14ac:dyDescent="0.35">
      <c r="A31" s="179" t="s">
        <v>46</v>
      </c>
      <c r="B31" s="180" t="s">
        <v>290</v>
      </c>
      <c r="C31" s="178">
        <v>50000</v>
      </c>
      <c r="D31" s="178">
        <v>8960000</v>
      </c>
      <c r="E31" s="178"/>
      <c r="F31" s="178">
        <v>9010000</v>
      </c>
      <c r="G31" s="79">
        <f t="shared" si="5"/>
        <v>2309339274</v>
      </c>
      <c r="H31" s="149">
        <f t="shared" si="3"/>
        <v>3.9015488548782202E-3</v>
      </c>
    </row>
    <row r="32" spans="1:8" ht="24.6" thickBot="1" x14ac:dyDescent="0.35">
      <c r="A32" s="179" t="s">
        <v>47</v>
      </c>
      <c r="B32" s="180" t="s">
        <v>291</v>
      </c>
      <c r="C32" s="178"/>
      <c r="D32" s="178"/>
      <c r="E32" s="178">
        <v>2260000000</v>
      </c>
      <c r="F32" s="178">
        <v>2260000000</v>
      </c>
      <c r="G32" s="79">
        <f t="shared" si="5"/>
        <v>2309339274</v>
      </c>
      <c r="H32" s="149">
        <f t="shared" si="3"/>
        <v>0.97863489589620167</v>
      </c>
    </row>
    <row r="33" spans="1:8" ht="24.6" thickBot="1" x14ac:dyDescent="0.35">
      <c r="A33" s="179" t="s">
        <v>292</v>
      </c>
      <c r="B33" s="180" t="s">
        <v>294</v>
      </c>
      <c r="C33" s="178">
        <v>50000</v>
      </c>
      <c r="D33" s="178">
        <v>1926352</v>
      </c>
      <c r="E33" s="178"/>
      <c r="F33" s="178">
        <v>1976352</v>
      </c>
      <c r="G33" s="79">
        <f t="shared" si="5"/>
        <v>2309339274</v>
      </c>
      <c r="H33" s="149">
        <f t="shared" si="3"/>
        <v>8.558084220240044E-4</v>
      </c>
    </row>
    <row r="34" spans="1:8" ht="15" thickBot="1" x14ac:dyDescent="0.35">
      <c r="A34" s="179" t="s">
        <v>49</v>
      </c>
      <c r="B34" s="180" t="s">
        <v>48</v>
      </c>
      <c r="C34" s="178">
        <v>315000</v>
      </c>
      <c r="D34" s="178"/>
      <c r="E34" s="178"/>
      <c r="F34" s="178">
        <v>315000</v>
      </c>
      <c r="G34" s="79">
        <f t="shared" si="5"/>
        <v>2309339274</v>
      </c>
      <c r="H34" s="149">
        <f t="shared" si="3"/>
        <v>1.3640265141916087E-4</v>
      </c>
    </row>
    <row r="35" spans="1:8" ht="24.6" thickBot="1" x14ac:dyDescent="0.35">
      <c r="A35" s="179" t="s">
        <v>50</v>
      </c>
      <c r="B35" s="180" t="s">
        <v>63</v>
      </c>
      <c r="C35" s="178"/>
      <c r="D35" s="178">
        <v>1200000</v>
      </c>
      <c r="E35" s="178"/>
      <c r="F35" s="178">
        <v>1200000</v>
      </c>
      <c r="G35" s="79">
        <f t="shared" si="5"/>
        <v>2309339274</v>
      </c>
      <c r="H35" s="149">
        <f t="shared" si="3"/>
        <v>5.1962914826346994E-4</v>
      </c>
    </row>
    <row r="36" spans="1:8" ht="24.6" thickBot="1" x14ac:dyDescent="0.35">
      <c r="A36" s="179" t="s">
        <v>51</v>
      </c>
      <c r="B36" s="180" t="s">
        <v>61</v>
      </c>
      <c r="C36" s="178">
        <v>175000</v>
      </c>
      <c r="D36" s="178"/>
      <c r="E36" s="178"/>
      <c r="F36" s="178">
        <v>175000</v>
      </c>
      <c r="G36" s="79">
        <f t="shared" si="5"/>
        <v>2309339274</v>
      </c>
      <c r="H36" s="149">
        <f t="shared" si="3"/>
        <v>7.5779250788422697E-5</v>
      </c>
    </row>
    <row r="37" spans="1:8" ht="15" thickBot="1" x14ac:dyDescent="0.35">
      <c r="A37" s="213" t="s">
        <v>753</v>
      </c>
      <c r="B37" s="214"/>
      <c r="C37" s="181">
        <v>32823850.890000001</v>
      </c>
      <c r="D37" s="181">
        <v>227207315.46000001</v>
      </c>
      <c r="E37" s="181">
        <v>6435646115.6499996</v>
      </c>
      <c r="F37" s="181">
        <v>6695677282</v>
      </c>
    </row>
  </sheetData>
  <mergeCells count="2">
    <mergeCell ref="A1:B1"/>
    <mergeCell ref="A37:B37"/>
  </mergeCells>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9A8C-82ED-419D-84CC-DD64147F701F}">
  <dimension ref="A1:AF597"/>
  <sheetViews>
    <sheetView topLeftCell="E1" zoomScale="85" zoomScaleNormal="85" workbookViewId="0">
      <selection activeCell="E22" sqref="E22"/>
    </sheetView>
  </sheetViews>
  <sheetFormatPr defaultRowHeight="14.4" x14ac:dyDescent="0.3"/>
  <cols>
    <col min="1" max="1" width="44.44140625" customWidth="1"/>
    <col min="2" max="2" width="10" hidden="1" customWidth="1"/>
    <col min="3" max="3" width="8.88671875" hidden="1" customWidth="1"/>
    <col min="4" max="4" width="27.5546875" customWidth="1"/>
    <col min="5" max="5" width="53.5546875" bestFit="1" customWidth="1"/>
    <col min="6" max="6" width="12.33203125" bestFit="1" customWidth="1"/>
    <col min="7" max="7" width="16.6640625" style="109" bestFit="1" customWidth="1"/>
    <col min="8" max="14" width="8.88671875" hidden="1" customWidth="1"/>
    <col min="15" max="15" width="12.109375" customWidth="1"/>
    <col min="16" max="17" width="11.88671875" hidden="1" customWidth="1"/>
    <col min="18" max="18" width="12.88671875" hidden="1" customWidth="1"/>
    <col min="20" max="20" width="11.109375" customWidth="1"/>
    <col min="21" max="21" width="9.5546875" customWidth="1"/>
    <col min="22" max="22" width="12" bestFit="1" customWidth="1"/>
    <col min="23" max="23" width="14.5546875" customWidth="1"/>
    <col min="24" max="24" width="13.109375" bestFit="1" customWidth="1"/>
    <col min="30" max="30" width="21.109375" bestFit="1" customWidth="1"/>
    <col min="32" max="32" width="13" customWidth="1"/>
  </cols>
  <sheetData>
    <row r="1" spans="1:32" ht="15.6" customHeight="1" x14ac:dyDescent="0.3">
      <c r="A1" s="114" t="s">
        <v>78</v>
      </c>
      <c r="B1" s="114" t="s">
        <v>305</v>
      </c>
      <c r="C1" s="114" t="s">
        <v>306</v>
      </c>
      <c r="D1" s="114" t="s">
        <v>307</v>
      </c>
      <c r="E1" s="114" t="s">
        <v>308</v>
      </c>
      <c r="F1" s="114" t="s">
        <v>586</v>
      </c>
      <c r="G1" s="115" t="s">
        <v>309</v>
      </c>
      <c r="H1" s="114" t="s">
        <v>310</v>
      </c>
      <c r="I1" s="114" t="s">
        <v>311</v>
      </c>
      <c r="J1" s="114" t="s">
        <v>312</v>
      </c>
      <c r="K1" s="114" t="s">
        <v>313</v>
      </c>
      <c r="L1" s="114" t="s">
        <v>314</v>
      </c>
      <c r="M1" s="114" t="s">
        <v>315</v>
      </c>
      <c r="N1" s="114" t="s">
        <v>316</v>
      </c>
      <c r="O1" s="94" t="s">
        <v>317</v>
      </c>
      <c r="P1" s="98" t="s">
        <v>318</v>
      </c>
      <c r="Q1" s="98" t="s">
        <v>319</v>
      </c>
      <c r="R1" s="98" t="s">
        <v>320</v>
      </c>
    </row>
    <row r="2" spans="1:32" x14ac:dyDescent="0.3">
      <c r="A2" s="116" t="s">
        <v>321</v>
      </c>
      <c r="B2" s="116" t="s">
        <v>322</v>
      </c>
      <c r="C2" s="116" t="s">
        <v>323</v>
      </c>
      <c r="D2" s="116" t="s">
        <v>324</v>
      </c>
      <c r="E2" s="116" t="s">
        <v>325</v>
      </c>
      <c r="F2" s="116">
        <v>40</v>
      </c>
      <c r="G2" s="117">
        <v>5015.74</v>
      </c>
      <c r="H2" s="116">
        <v>0</v>
      </c>
      <c r="I2" s="116" t="s">
        <v>322</v>
      </c>
      <c r="J2" s="117">
        <v>0</v>
      </c>
      <c r="K2" s="117">
        <v>0</v>
      </c>
      <c r="L2" s="117">
        <v>0</v>
      </c>
      <c r="M2" s="117">
        <v>0</v>
      </c>
      <c r="N2" s="117">
        <v>0</v>
      </c>
      <c r="O2" s="117">
        <v>1576.65</v>
      </c>
      <c r="P2" s="109">
        <v>358.01</v>
      </c>
      <c r="Q2" s="109">
        <v>388.21</v>
      </c>
      <c r="R2" s="109">
        <v>5846.17</v>
      </c>
      <c r="T2" s="98" t="s">
        <v>326</v>
      </c>
      <c r="V2" s="215"/>
      <c r="W2" s="215"/>
      <c r="AD2" s="98" t="s">
        <v>601</v>
      </c>
    </row>
    <row r="3" spans="1:32" x14ac:dyDescent="0.3">
      <c r="A3" s="116" t="s">
        <v>321</v>
      </c>
      <c r="B3" s="116" t="s">
        <v>322</v>
      </c>
      <c r="C3" s="116" t="s">
        <v>327</v>
      </c>
      <c r="D3" s="116" t="s">
        <v>324</v>
      </c>
      <c r="E3" s="116" t="s">
        <v>328</v>
      </c>
      <c r="F3" s="116">
        <v>40</v>
      </c>
      <c r="G3" s="117">
        <v>6302.13</v>
      </c>
      <c r="H3" s="116">
        <v>0</v>
      </c>
      <c r="I3" s="116" t="s">
        <v>322</v>
      </c>
      <c r="J3" s="117">
        <v>0</v>
      </c>
      <c r="K3" s="117">
        <v>0</v>
      </c>
      <c r="L3" s="117">
        <v>0</v>
      </c>
      <c r="M3" s="117">
        <v>0</v>
      </c>
      <c r="N3" s="117">
        <v>0</v>
      </c>
      <c r="O3" s="117">
        <v>1575.83</v>
      </c>
      <c r="P3" s="109">
        <v>702.93</v>
      </c>
      <c r="Q3" s="109">
        <v>390.29</v>
      </c>
      <c r="R3" s="109">
        <v>6784.74</v>
      </c>
      <c r="T3" s="112" t="s">
        <v>329</v>
      </c>
      <c r="U3" s="112" t="s">
        <v>330</v>
      </c>
      <c r="V3" s="112" t="s">
        <v>331</v>
      </c>
      <c r="W3" s="112" t="s">
        <v>332</v>
      </c>
      <c r="X3" s="112" t="s">
        <v>333</v>
      </c>
      <c r="Y3" s="112" t="s">
        <v>334</v>
      </c>
      <c r="Z3" s="112" t="s">
        <v>335</v>
      </c>
      <c r="AA3" s="112" t="s">
        <v>336</v>
      </c>
      <c r="AB3" s="112" t="s">
        <v>335</v>
      </c>
      <c r="AD3" s="112" t="s">
        <v>295</v>
      </c>
      <c r="AE3" s="113" t="s">
        <v>362</v>
      </c>
      <c r="AF3" s="113" t="s">
        <v>363</v>
      </c>
    </row>
    <row r="4" spans="1:32" x14ac:dyDescent="0.3">
      <c r="A4" s="116" t="s">
        <v>321</v>
      </c>
      <c r="B4" s="116" t="s">
        <v>322</v>
      </c>
      <c r="C4" s="116" t="s">
        <v>337</v>
      </c>
      <c r="D4" s="116" t="s">
        <v>324</v>
      </c>
      <c r="E4" s="116" t="s">
        <v>338</v>
      </c>
      <c r="F4" s="116">
        <v>40</v>
      </c>
      <c r="G4" s="117">
        <v>4703.04</v>
      </c>
      <c r="H4" s="116">
        <v>0</v>
      </c>
      <c r="I4" s="116" t="s">
        <v>322</v>
      </c>
      <c r="J4" s="117">
        <v>0</v>
      </c>
      <c r="K4" s="117">
        <v>0</v>
      </c>
      <c r="L4" s="117">
        <v>0</v>
      </c>
      <c r="M4" s="117">
        <v>0</v>
      </c>
      <c r="N4" s="117">
        <v>0</v>
      </c>
      <c r="O4" s="117">
        <v>1051.45</v>
      </c>
      <c r="P4" s="109">
        <v>287.66000000000003</v>
      </c>
      <c r="Q4" s="109">
        <v>390.48</v>
      </c>
      <c r="R4" s="109">
        <v>5076.3500000000004</v>
      </c>
      <c r="T4" s="84">
        <v>8</v>
      </c>
      <c r="U4" s="81" t="s">
        <v>587</v>
      </c>
      <c r="V4" s="82">
        <f>MEDIAN(G2:G9)</f>
        <v>7876.5650000000005</v>
      </c>
      <c r="W4" s="82">
        <f>MEDIAN(O2:O9)</f>
        <v>1575</v>
      </c>
      <c r="X4" s="82">
        <f t="shared" ref="X4:X9" si="0">V4+W4</f>
        <v>9451.5650000000005</v>
      </c>
      <c r="Y4" s="84">
        <v>160</v>
      </c>
      <c r="Z4" s="100">
        <f t="shared" ref="Z4:Z9" si="1">X4/Y4</f>
        <v>59.072281250000003</v>
      </c>
      <c r="AA4" s="101">
        <v>0.6</v>
      </c>
      <c r="AB4" s="100">
        <f>Z4*1.6</f>
        <v>94.515650000000008</v>
      </c>
      <c r="AD4" s="81" t="s">
        <v>364</v>
      </c>
      <c r="AE4" s="81">
        <v>150</v>
      </c>
      <c r="AF4" s="99">
        <f>AE4*125</f>
        <v>18750</v>
      </c>
    </row>
    <row r="5" spans="1:32" x14ac:dyDescent="0.3">
      <c r="A5" s="116" t="s">
        <v>321</v>
      </c>
      <c r="B5" s="116" t="s">
        <v>322</v>
      </c>
      <c r="C5" s="116" t="s">
        <v>323</v>
      </c>
      <c r="D5" s="116" t="s">
        <v>324</v>
      </c>
      <c r="E5" s="116" t="s">
        <v>339</v>
      </c>
      <c r="F5" s="116">
        <v>40</v>
      </c>
      <c r="G5" s="117">
        <v>5026.97</v>
      </c>
      <c r="H5" s="116">
        <v>0</v>
      </c>
      <c r="I5" s="116" t="s">
        <v>322</v>
      </c>
      <c r="J5" s="117">
        <v>0</v>
      </c>
      <c r="K5" s="117">
        <v>0</v>
      </c>
      <c r="L5" s="117">
        <v>0</v>
      </c>
      <c r="M5" s="117">
        <v>0</v>
      </c>
      <c r="N5" s="117">
        <v>0</v>
      </c>
      <c r="O5" s="117">
        <v>1576.03</v>
      </c>
      <c r="P5" s="109">
        <v>360.54</v>
      </c>
      <c r="Q5" s="109">
        <v>389.67</v>
      </c>
      <c r="R5" s="109">
        <v>5852.79</v>
      </c>
      <c r="T5" s="84">
        <v>15</v>
      </c>
      <c r="U5" s="81" t="s">
        <v>340</v>
      </c>
      <c r="V5" s="82">
        <f>MEDIAN(G10:G24)</f>
        <v>5391.57</v>
      </c>
      <c r="W5" s="82">
        <f>MEDIAN(O10:O24)</f>
        <v>1575</v>
      </c>
      <c r="X5" s="82">
        <f t="shared" si="0"/>
        <v>6966.57</v>
      </c>
      <c r="Y5" s="84">
        <v>160</v>
      </c>
      <c r="Z5" s="100">
        <f t="shared" si="1"/>
        <v>43.541062499999995</v>
      </c>
      <c r="AA5" s="101">
        <v>0.6</v>
      </c>
      <c r="AB5" s="100">
        <f t="shared" ref="AB5:AB9" si="2">Z5*1.6</f>
        <v>69.665700000000001</v>
      </c>
      <c r="AD5" s="81" t="s">
        <v>365</v>
      </c>
      <c r="AE5" s="81">
        <v>250</v>
      </c>
      <c r="AF5" s="99">
        <f>AE5*125</f>
        <v>31250</v>
      </c>
    </row>
    <row r="6" spans="1:32" x14ac:dyDescent="0.3">
      <c r="A6" s="116" t="s">
        <v>341</v>
      </c>
      <c r="B6" s="116" t="s">
        <v>322</v>
      </c>
      <c r="C6" s="116" t="s">
        <v>323</v>
      </c>
      <c r="D6" s="116" t="s">
        <v>324</v>
      </c>
      <c r="E6" s="116" t="s">
        <v>342</v>
      </c>
      <c r="F6" s="116">
        <v>40</v>
      </c>
      <c r="G6" s="117">
        <v>21836.67</v>
      </c>
      <c r="H6" s="116">
        <v>0</v>
      </c>
      <c r="I6" s="116" t="s">
        <v>322</v>
      </c>
      <c r="J6" s="117">
        <v>0</v>
      </c>
      <c r="K6" s="117">
        <v>0</v>
      </c>
      <c r="L6" s="117">
        <v>0</v>
      </c>
      <c r="M6" s="117">
        <v>0</v>
      </c>
      <c r="N6" s="117">
        <v>0</v>
      </c>
      <c r="O6" s="117">
        <v>1500</v>
      </c>
      <c r="P6" s="109">
        <v>4850.03</v>
      </c>
      <c r="Q6" s="109">
        <v>982.16</v>
      </c>
      <c r="R6" s="109">
        <v>17504.48</v>
      </c>
      <c r="T6" s="84">
        <v>87</v>
      </c>
      <c r="U6" s="81" t="s">
        <v>54</v>
      </c>
      <c r="V6" s="82">
        <f>MEDIAN(G25:G111)</f>
        <v>9780.34</v>
      </c>
      <c r="W6" s="82">
        <f>MEDIAN(O25:O111)</f>
        <v>3074.19</v>
      </c>
      <c r="X6" s="82">
        <f t="shared" si="0"/>
        <v>12854.53</v>
      </c>
      <c r="Y6" s="84">
        <v>160</v>
      </c>
      <c r="Z6" s="100">
        <f t="shared" si="1"/>
        <v>80.340812499999998</v>
      </c>
      <c r="AA6" s="101">
        <v>0.6</v>
      </c>
      <c r="AB6" s="100">
        <f t="shared" si="2"/>
        <v>128.5453</v>
      </c>
      <c r="AF6" s="108">
        <f>SUM(AF4:AF5)</f>
        <v>50000</v>
      </c>
    </row>
    <row r="7" spans="1:32" x14ac:dyDescent="0.3">
      <c r="A7" s="116" t="s">
        <v>341</v>
      </c>
      <c r="B7" s="116" t="s">
        <v>322</v>
      </c>
      <c r="C7" s="116" t="s">
        <v>323</v>
      </c>
      <c r="D7" s="116" t="s">
        <v>324</v>
      </c>
      <c r="E7" s="116" t="s">
        <v>343</v>
      </c>
      <c r="F7" s="116">
        <v>40</v>
      </c>
      <c r="G7" s="117">
        <v>9451</v>
      </c>
      <c r="H7" s="116">
        <v>0</v>
      </c>
      <c r="I7" s="116" t="s">
        <v>322</v>
      </c>
      <c r="J7" s="117">
        <v>0</v>
      </c>
      <c r="K7" s="117">
        <v>0</v>
      </c>
      <c r="L7" s="117">
        <v>0</v>
      </c>
      <c r="M7" s="117">
        <v>0</v>
      </c>
      <c r="N7" s="117">
        <v>0</v>
      </c>
      <c r="O7" s="117">
        <v>1575</v>
      </c>
      <c r="P7" s="109">
        <v>1443.97</v>
      </c>
      <c r="Q7" s="109">
        <v>982.16</v>
      </c>
      <c r="R7" s="109">
        <v>8599.8700000000008</v>
      </c>
      <c r="T7" s="84">
        <v>373</v>
      </c>
      <c r="U7" s="81" t="s">
        <v>52</v>
      </c>
      <c r="V7" s="82">
        <f>MEDIAN(G112:G484)</f>
        <v>9797.58</v>
      </c>
      <c r="W7" s="82">
        <f>MEDIAN(O112:O484)</f>
        <v>3074.19</v>
      </c>
      <c r="X7" s="82">
        <f t="shared" si="0"/>
        <v>12871.77</v>
      </c>
      <c r="Y7" s="84">
        <v>160</v>
      </c>
      <c r="Z7" s="100">
        <f t="shared" si="1"/>
        <v>80.448562500000008</v>
      </c>
      <c r="AA7" s="101">
        <v>0.6</v>
      </c>
      <c r="AB7" s="100">
        <f t="shared" si="2"/>
        <v>128.71770000000001</v>
      </c>
    </row>
    <row r="8" spans="1:32" x14ac:dyDescent="0.3">
      <c r="A8" s="116" t="s">
        <v>341</v>
      </c>
      <c r="B8" s="116" t="s">
        <v>322</v>
      </c>
      <c r="C8" s="116" t="s">
        <v>344</v>
      </c>
      <c r="D8" s="116" t="s">
        <v>324</v>
      </c>
      <c r="E8" s="116" t="s">
        <v>325</v>
      </c>
      <c r="F8" s="116">
        <v>40</v>
      </c>
      <c r="G8" s="117">
        <v>21660.16</v>
      </c>
      <c r="H8" s="116">
        <v>0</v>
      </c>
      <c r="I8" s="116" t="s">
        <v>322</v>
      </c>
      <c r="J8" s="117">
        <v>0</v>
      </c>
      <c r="K8" s="117">
        <v>0</v>
      </c>
      <c r="L8" s="117">
        <v>0</v>
      </c>
      <c r="M8" s="117">
        <v>0</v>
      </c>
      <c r="N8" s="117">
        <v>0</v>
      </c>
      <c r="O8" s="117">
        <v>1575</v>
      </c>
      <c r="P8" s="109">
        <v>4416.8900000000003</v>
      </c>
      <c r="Q8" s="109">
        <v>2380.69</v>
      </c>
      <c r="R8" s="109">
        <v>16437.580000000002</v>
      </c>
      <c r="T8" s="84">
        <v>111</v>
      </c>
      <c r="U8" s="81" t="s">
        <v>53</v>
      </c>
      <c r="V8" s="82">
        <f>MEDIAN(G485:G595)</f>
        <v>9502.6200000000008</v>
      </c>
      <c r="W8" s="82">
        <f>MEDIAN(O485:O595)</f>
        <v>2927.8</v>
      </c>
      <c r="X8" s="82">
        <f t="shared" si="0"/>
        <v>12430.420000000002</v>
      </c>
      <c r="Y8" s="84">
        <v>160</v>
      </c>
      <c r="Z8" s="100">
        <f t="shared" si="1"/>
        <v>77.690125000000009</v>
      </c>
      <c r="AA8" s="101">
        <v>0.6</v>
      </c>
      <c r="AB8" s="100">
        <f t="shared" si="2"/>
        <v>124.30420000000002</v>
      </c>
    </row>
    <row r="9" spans="1:32" x14ac:dyDescent="0.3">
      <c r="A9" s="116" t="s">
        <v>341</v>
      </c>
      <c r="B9" s="116" t="s">
        <v>322</v>
      </c>
      <c r="C9" s="116" t="s">
        <v>345</v>
      </c>
      <c r="D9" s="116" t="s">
        <v>324</v>
      </c>
      <c r="E9" s="116" t="s">
        <v>339</v>
      </c>
      <c r="F9" s="116">
        <v>40</v>
      </c>
      <c r="G9" s="117">
        <v>18028.259999999998</v>
      </c>
      <c r="H9" s="116">
        <v>0</v>
      </c>
      <c r="I9" s="116" t="s">
        <v>322</v>
      </c>
      <c r="J9" s="117">
        <v>0</v>
      </c>
      <c r="K9" s="117">
        <v>0</v>
      </c>
      <c r="L9" s="117">
        <v>0</v>
      </c>
      <c r="M9" s="117">
        <v>0</v>
      </c>
      <c r="N9" s="117">
        <v>0</v>
      </c>
      <c r="O9" s="117">
        <v>426.92</v>
      </c>
      <c r="P9" s="109">
        <v>3519.38</v>
      </c>
      <c r="Q9" s="109">
        <v>2489.39</v>
      </c>
      <c r="R9" s="109">
        <v>12446.41</v>
      </c>
      <c r="T9" s="102">
        <f>SUM(T4:T8)</f>
        <v>594</v>
      </c>
      <c r="U9" s="103"/>
      <c r="V9" s="111">
        <f>MEDIAN(G2:G595)</f>
        <v>9719.0450000000001</v>
      </c>
      <c r="W9" s="111">
        <f>MEDIAN(O2:O595)</f>
        <v>3074.18</v>
      </c>
      <c r="X9" s="111">
        <f t="shared" si="0"/>
        <v>12793.225</v>
      </c>
      <c r="Y9" s="102">
        <v>160</v>
      </c>
      <c r="Z9" s="104">
        <f t="shared" si="1"/>
        <v>79.957656249999999</v>
      </c>
      <c r="AA9" s="105">
        <v>0.6</v>
      </c>
      <c r="AB9" s="104">
        <f t="shared" si="2"/>
        <v>127.93225000000001</v>
      </c>
    </row>
    <row r="10" spans="1:32" x14ac:dyDescent="0.3">
      <c r="A10" s="116" t="s">
        <v>341</v>
      </c>
      <c r="B10" s="116" t="s">
        <v>322</v>
      </c>
      <c r="C10" s="116" t="s">
        <v>346</v>
      </c>
      <c r="D10" s="116" t="s">
        <v>347</v>
      </c>
      <c r="E10" s="116" t="s">
        <v>348</v>
      </c>
      <c r="F10" s="116">
        <v>40</v>
      </c>
      <c r="G10" s="117">
        <v>16435.54</v>
      </c>
      <c r="H10" s="116">
        <v>0</v>
      </c>
      <c r="I10" s="116" t="s">
        <v>322</v>
      </c>
      <c r="J10" s="117">
        <v>0</v>
      </c>
      <c r="K10" s="117">
        <v>0</v>
      </c>
      <c r="L10" s="117">
        <v>0</v>
      </c>
      <c r="M10" s="117">
        <v>0</v>
      </c>
      <c r="N10" s="117">
        <v>0</v>
      </c>
      <c r="O10" s="117">
        <v>1575</v>
      </c>
      <c r="P10" s="109">
        <v>3364.72</v>
      </c>
      <c r="Q10" s="109">
        <v>982.16</v>
      </c>
      <c r="R10" s="109">
        <v>13663.66</v>
      </c>
      <c r="Z10" s="216" t="s">
        <v>349</v>
      </c>
      <c r="AA10" s="217"/>
      <c r="AB10" s="106">
        <v>125</v>
      </c>
    </row>
    <row r="11" spans="1:32" x14ac:dyDescent="0.3">
      <c r="A11" s="116" t="s">
        <v>341</v>
      </c>
      <c r="B11" s="116" t="s">
        <v>322</v>
      </c>
      <c r="C11" s="116" t="s">
        <v>350</v>
      </c>
      <c r="D11" s="116" t="s">
        <v>347</v>
      </c>
      <c r="E11" s="116" t="s">
        <v>325</v>
      </c>
      <c r="F11" s="116">
        <v>40</v>
      </c>
      <c r="G11" s="117">
        <v>14265.55</v>
      </c>
      <c r="H11" s="116">
        <v>0</v>
      </c>
      <c r="I11" s="116" t="s">
        <v>322</v>
      </c>
      <c r="J11" s="117">
        <v>0</v>
      </c>
      <c r="K11" s="117">
        <v>0</v>
      </c>
      <c r="L11" s="117">
        <v>0</v>
      </c>
      <c r="M11" s="117">
        <v>0</v>
      </c>
      <c r="N11" s="117">
        <v>0</v>
      </c>
      <c r="O11" s="117">
        <v>1575</v>
      </c>
      <c r="P11" s="109">
        <v>2594.52</v>
      </c>
      <c r="Q11" s="109">
        <v>1612.89</v>
      </c>
      <c r="R11" s="109">
        <v>11633.14</v>
      </c>
      <c r="T11" s="107" t="s">
        <v>351</v>
      </c>
    </row>
    <row r="12" spans="1:32" x14ac:dyDescent="0.3">
      <c r="A12" s="116" t="s">
        <v>341</v>
      </c>
      <c r="B12" s="116" t="s">
        <v>322</v>
      </c>
      <c r="C12" s="116" t="s">
        <v>352</v>
      </c>
      <c r="D12" s="116" t="s">
        <v>347</v>
      </c>
      <c r="E12" s="116" t="s">
        <v>353</v>
      </c>
      <c r="F12" s="116">
        <v>40</v>
      </c>
      <c r="G12" s="117">
        <v>12982.84</v>
      </c>
      <c r="H12" s="116">
        <v>0</v>
      </c>
      <c r="I12" s="116" t="s">
        <v>322</v>
      </c>
      <c r="J12" s="117">
        <v>0</v>
      </c>
      <c r="K12" s="117">
        <v>0</v>
      </c>
      <c r="L12" s="117">
        <v>0</v>
      </c>
      <c r="M12" s="117">
        <v>0</v>
      </c>
      <c r="N12" s="117">
        <v>0</v>
      </c>
      <c r="O12" s="117">
        <v>0</v>
      </c>
      <c r="P12" s="109">
        <v>2240.31</v>
      </c>
      <c r="Q12" s="109">
        <v>1618.21</v>
      </c>
      <c r="R12" s="109">
        <v>9124.32</v>
      </c>
      <c r="T12" t="s">
        <v>354</v>
      </c>
    </row>
    <row r="13" spans="1:32" x14ac:dyDescent="0.3">
      <c r="A13" s="116" t="s">
        <v>341</v>
      </c>
      <c r="B13" s="116" t="s">
        <v>322</v>
      </c>
      <c r="C13" s="116" t="s">
        <v>344</v>
      </c>
      <c r="D13" s="116" t="s">
        <v>347</v>
      </c>
      <c r="E13" s="116" t="s">
        <v>325</v>
      </c>
      <c r="F13" s="116">
        <v>40</v>
      </c>
      <c r="G13" s="117">
        <v>15319.73</v>
      </c>
      <c r="H13" s="116">
        <v>0</v>
      </c>
      <c r="I13" s="116" t="s">
        <v>322</v>
      </c>
      <c r="J13" s="117">
        <v>0</v>
      </c>
      <c r="K13" s="117">
        <v>0</v>
      </c>
      <c r="L13" s="117">
        <v>0</v>
      </c>
      <c r="M13" s="117">
        <v>0</v>
      </c>
      <c r="N13" s="117">
        <v>0</v>
      </c>
      <c r="O13" s="117">
        <v>0</v>
      </c>
      <c r="P13" s="109">
        <v>2864.26</v>
      </c>
      <c r="Q13" s="109">
        <v>1686.22</v>
      </c>
      <c r="R13" s="109">
        <v>10769.25</v>
      </c>
      <c r="T13" t="s">
        <v>355</v>
      </c>
    </row>
    <row r="14" spans="1:32" x14ac:dyDescent="0.3">
      <c r="A14" s="116" t="s">
        <v>341</v>
      </c>
      <c r="B14" s="116" t="s">
        <v>322</v>
      </c>
      <c r="C14" s="116"/>
      <c r="D14" s="116" t="s">
        <v>347</v>
      </c>
      <c r="E14" s="116" t="s">
        <v>325</v>
      </c>
      <c r="F14" s="116">
        <v>40</v>
      </c>
      <c r="G14" s="117">
        <v>11966.12</v>
      </c>
      <c r="H14" s="116">
        <v>0</v>
      </c>
      <c r="I14" s="116" t="s">
        <v>322</v>
      </c>
      <c r="J14" s="117">
        <v>0</v>
      </c>
      <c r="K14" s="117">
        <v>0</v>
      </c>
      <c r="L14" s="117">
        <v>0</v>
      </c>
      <c r="M14" s="117">
        <v>0</v>
      </c>
      <c r="N14" s="117">
        <v>0</v>
      </c>
      <c r="O14" s="117">
        <v>2775</v>
      </c>
      <c r="P14" s="109">
        <v>2135.63</v>
      </c>
      <c r="Q14" s="109">
        <v>1316.56</v>
      </c>
      <c r="R14" s="109">
        <v>11288.93</v>
      </c>
    </row>
    <row r="15" spans="1:32" x14ac:dyDescent="0.3">
      <c r="A15" s="116" t="s">
        <v>341</v>
      </c>
      <c r="B15" s="116" t="s">
        <v>322</v>
      </c>
      <c r="C15" s="116" t="s">
        <v>356</v>
      </c>
      <c r="D15" s="116" t="s">
        <v>347</v>
      </c>
      <c r="E15" s="116" t="s">
        <v>325</v>
      </c>
      <c r="F15" s="116">
        <v>40</v>
      </c>
      <c r="G15" s="117">
        <v>25817.75</v>
      </c>
      <c r="H15" s="116">
        <v>0</v>
      </c>
      <c r="I15" s="116" t="s">
        <v>322</v>
      </c>
      <c r="J15" s="117">
        <v>0</v>
      </c>
      <c r="K15" s="117">
        <v>0</v>
      </c>
      <c r="L15" s="117">
        <v>0</v>
      </c>
      <c r="M15" s="117">
        <v>0</v>
      </c>
      <c r="N15" s="117">
        <v>0</v>
      </c>
      <c r="O15" s="117">
        <v>1575</v>
      </c>
      <c r="P15" s="109">
        <v>5334.85</v>
      </c>
      <c r="Q15" s="109">
        <v>3010.68</v>
      </c>
      <c r="R15" s="109">
        <v>19047.22</v>
      </c>
      <c r="U15" s="98"/>
    </row>
    <row r="16" spans="1:32" x14ac:dyDescent="0.3">
      <c r="A16" s="116" t="s">
        <v>357</v>
      </c>
      <c r="B16" s="116" t="s">
        <v>322</v>
      </c>
      <c r="C16" s="116" t="s">
        <v>352</v>
      </c>
      <c r="D16" s="116" t="s">
        <v>347</v>
      </c>
      <c r="E16" s="116" t="s">
        <v>325</v>
      </c>
      <c r="F16" s="116">
        <v>40</v>
      </c>
      <c r="G16" s="117">
        <v>5894.49</v>
      </c>
      <c r="H16" s="116">
        <v>0</v>
      </c>
      <c r="I16" s="116" t="s">
        <v>322</v>
      </c>
      <c r="J16" s="117">
        <v>0</v>
      </c>
      <c r="K16" s="117">
        <v>0</v>
      </c>
      <c r="L16" s="117">
        <v>0</v>
      </c>
      <c r="M16" s="117">
        <v>0</v>
      </c>
      <c r="N16" s="117">
        <v>0</v>
      </c>
      <c r="O16" s="117">
        <v>1576.03</v>
      </c>
      <c r="P16" s="109">
        <v>590.83000000000004</v>
      </c>
      <c r="Q16" s="109">
        <v>522.94000000000005</v>
      </c>
      <c r="R16" s="109">
        <v>6356.75</v>
      </c>
    </row>
    <row r="17" spans="1:18" x14ac:dyDescent="0.3">
      <c r="A17" s="116" t="s">
        <v>357</v>
      </c>
      <c r="B17" s="116" t="s">
        <v>322</v>
      </c>
      <c r="C17" s="116"/>
      <c r="D17" s="116" t="s">
        <v>347</v>
      </c>
      <c r="E17" s="116" t="s">
        <v>358</v>
      </c>
      <c r="F17" s="116">
        <v>40</v>
      </c>
      <c r="G17" s="117">
        <v>5391.57</v>
      </c>
      <c r="H17" s="116">
        <v>0</v>
      </c>
      <c r="I17" s="116" t="s">
        <v>322</v>
      </c>
      <c r="J17" s="117">
        <v>0</v>
      </c>
      <c r="K17" s="117">
        <v>0</v>
      </c>
      <c r="L17" s="117">
        <v>0</v>
      </c>
      <c r="M17" s="117">
        <v>0</v>
      </c>
      <c r="N17" s="117">
        <v>0</v>
      </c>
      <c r="O17" s="117">
        <v>1575</v>
      </c>
      <c r="P17" s="109">
        <v>369.65</v>
      </c>
      <c r="Q17" s="109">
        <v>662.53</v>
      </c>
      <c r="R17" s="109">
        <v>5934.39</v>
      </c>
    </row>
    <row r="18" spans="1:18" x14ac:dyDescent="0.3">
      <c r="A18" s="116" t="s">
        <v>357</v>
      </c>
      <c r="B18" s="116" t="s">
        <v>322</v>
      </c>
      <c r="C18" s="116"/>
      <c r="D18" s="116" t="s">
        <v>347</v>
      </c>
      <c r="E18" s="116" t="s">
        <v>359</v>
      </c>
      <c r="F18" s="116">
        <v>40</v>
      </c>
      <c r="G18" s="117">
        <v>4394.49</v>
      </c>
      <c r="H18" s="116">
        <v>0</v>
      </c>
      <c r="I18" s="116" t="s">
        <v>322</v>
      </c>
      <c r="J18" s="117">
        <v>0</v>
      </c>
      <c r="K18" s="117">
        <v>0</v>
      </c>
      <c r="L18" s="117">
        <v>0</v>
      </c>
      <c r="M18" s="117">
        <v>0</v>
      </c>
      <c r="N18" s="117">
        <v>0</v>
      </c>
      <c r="O18" s="117">
        <v>1575</v>
      </c>
      <c r="P18" s="109">
        <v>218.23</v>
      </c>
      <c r="Q18" s="109">
        <v>522.94000000000005</v>
      </c>
      <c r="R18" s="109">
        <v>5228.32</v>
      </c>
    </row>
    <row r="19" spans="1:18" x14ac:dyDescent="0.3">
      <c r="A19" s="116" t="s">
        <v>357</v>
      </c>
      <c r="B19" s="116" t="s">
        <v>322</v>
      </c>
      <c r="C19" s="116"/>
      <c r="D19" s="116" t="s">
        <v>347</v>
      </c>
      <c r="E19" s="116" t="s">
        <v>360</v>
      </c>
      <c r="F19" s="116">
        <v>40</v>
      </c>
      <c r="G19" s="117">
        <v>2676.31</v>
      </c>
      <c r="H19" s="116">
        <v>0</v>
      </c>
      <c r="I19" s="116" t="s">
        <v>322</v>
      </c>
      <c r="J19" s="117">
        <v>0</v>
      </c>
      <c r="K19" s="117">
        <v>0</v>
      </c>
      <c r="L19" s="117">
        <v>0</v>
      </c>
      <c r="M19" s="117">
        <v>0</v>
      </c>
      <c r="N19" s="117">
        <v>0</v>
      </c>
      <c r="O19" s="117">
        <v>1580</v>
      </c>
      <c r="P19" s="109">
        <v>0</v>
      </c>
      <c r="Q19" s="109">
        <v>302.7</v>
      </c>
      <c r="R19" s="109">
        <v>3953.61</v>
      </c>
    </row>
    <row r="20" spans="1:18" x14ac:dyDescent="0.3">
      <c r="A20" s="116" t="s">
        <v>357</v>
      </c>
      <c r="B20" s="116" t="s">
        <v>322</v>
      </c>
      <c r="C20" s="116"/>
      <c r="D20" s="116" t="s">
        <v>347</v>
      </c>
      <c r="E20" s="116" t="s">
        <v>361</v>
      </c>
      <c r="F20" s="116">
        <v>40</v>
      </c>
      <c r="G20" s="117">
        <v>4394.49</v>
      </c>
      <c r="H20" s="116">
        <v>0</v>
      </c>
      <c r="I20" s="116" t="s">
        <v>322</v>
      </c>
      <c r="J20" s="117">
        <v>0</v>
      </c>
      <c r="K20" s="117">
        <v>0</v>
      </c>
      <c r="L20" s="117">
        <v>0</v>
      </c>
      <c r="M20" s="117">
        <v>0</v>
      </c>
      <c r="N20" s="117">
        <v>0</v>
      </c>
      <c r="O20" s="117">
        <v>1575.83</v>
      </c>
      <c r="P20" s="109">
        <v>218.23</v>
      </c>
      <c r="Q20" s="109">
        <v>522.94000000000005</v>
      </c>
      <c r="R20" s="109">
        <v>5229.1499999999996</v>
      </c>
    </row>
    <row r="21" spans="1:18" x14ac:dyDescent="0.3">
      <c r="A21" s="116" t="s">
        <v>357</v>
      </c>
      <c r="B21" s="116" t="s">
        <v>322</v>
      </c>
      <c r="C21" s="116"/>
      <c r="D21" s="116" t="s">
        <v>347</v>
      </c>
      <c r="E21" s="116" t="s">
        <v>360</v>
      </c>
      <c r="F21" s="116">
        <v>40</v>
      </c>
      <c r="G21" s="117">
        <v>5391.57</v>
      </c>
      <c r="H21" s="116">
        <v>0</v>
      </c>
      <c r="I21" s="116" t="s">
        <v>322</v>
      </c>
      <c r="J21" s="117">
        <v>0</v>
      </c>
      <c r="K21" s="117">
        <v>0</v>
      </c>
      <c r="L21" s="117">
        <v>0</v>
      </c>
      <c r="M21" s="117">
        <v>0</v>
      </c>
      <c r="N21" s="117">
        <v>0</v>
      </c>
      <c r="O21" s="117">
        <v>0</v>
      </c>
      <c r="P21" s="109">
        <v>415.53</v>
      </c>
      <c r="Q21" s="109">
        <v>662.53</v>
      </c>
      <c r="R21" s="109">
        <v>4313.51</v>
      </c>
    </row>
    <row r="22" spans="1:18" x14ac:dyDescent="0.3">
      <c r="A22" s="116" t="s">
        <v>357</v>
      </c>
      <c r="B22" s="116" t="s">
        <v>322</v>
      </c>
      <c r="C22" s="116"/>
      <c r="D22" s="116" t="s">
        <v>347</v>
      </c>
      <c r="E22" s="116" t="s">
        <v>359</v>
      </c>
      <c r="F22" s="116">
        <v>40</v>
      </c>
      <c r="G22" s="117">
        <v>4384.22</v>
      </c>
      <c r="H22" s="116">
        <v>0</v>
      </c>
      <c r="I22" s="116" t="s">
        <v>322</v>
      </c>
      <c r="J22" s="117">
        <v>0</v>
      </c>
      <c r="K22" s="117">
        <v>0</v>
      </c>
      <c r="L22" s="117">
        <v>0</v>
      </c>
      <c r="M22" s="117">
        <v>0</v>
      </c>
      <c r="N22" s="117">
        <v>0</v>
      </c>
      <c r="O22" s="117">
        <v>1576.65</v>
      </c>
      <c r="P22" s="109">
        <v>215.92</v>
      </c>
      <c r="Q22" s="109">
        <v>521.5</v>
      </c>
      <c r="R22" s="109">
        <v>5223.45</v>
      </c>
    </row>
    <row r="23" spans="1:18" x14ac:dyDescent="0.3">
      <c r="A23" s="116" t="s">
        <v>357</v>
      </c>
      <c r="B23" s="116" t="s">
        <v>322</v>
      </c>
      <c r="C23" s="116"/>
      <c r="D23" s="116" t="s">
        <v>347</v>
      </c>
      <c r="E23" s="116" t="s">
        <v>359</v>
      </c>
      <c r="F23" s="116">
        <v>40</v>
      </c>
      <c r="G23" s="117">
        <v>4394.49</v>
      </c>
      <c r="H23" s="116">
        <v>0</v>
      </c>
      <c r="I23" s="116" t="s">
        <v>322</v>
      </c>
      <c r="J23" s="117">
        <v>0</v>
      </c>
      <c r="K23" s="117">
        <v>0</v>
      </c>
      <c r="L23" s="117">
        <v>0</v>
      </c>
      <c r="M23" s="117">
        <v>0</v>
      </c>
      <c r="N23" s="117">
        <v>0</v>
      </c>
      <c r="O23" s="117">
        <v>1575</v>
      </c>
      <c r="P23" s="109">
        <v>218.23</v>
      </c>
      <c r="Q23" s="109">
        <v>522.94000000000005</v>
      </c>
      <c r="R23" s="109">
        <v>5228.32</v>
      </c>
    </row>
    <row r="24" spans="1:18" x14ac:dyDescent="0.3">
      <c r="A24" s="116" t="s">
        <v>357</v>
      </c>
      <c r="B24" s="116" t="s">
        <v>322</v>
      </c>
      <c r="C24" s="116"/>
      <c r="D24" s="116" t="s">
        <v>347</v>
      </c>
      <c r="E24" s="116" t="s">
        <v>361</v>
      </c>
      <c r="F24" s="116">
        <v>40</v>
      </c>
      <c r="G24" s="117">
        <v>4394.49</v>
      </c>
      <c r="H24" s="116">
        <v>0</v>
      </c>
      <c r="I24" s="116" t="s">
        <v>322</v>
      </c>
      <c r="J24" s="117">
        <v>0</v>
      </c>
      <c r="K24" s="117">
        <v>0</v>
      </c>
      <c r="L24" s="117">
        <v>0</v>
      </c>
      <c r="M24" s="117">
        <v>0</v>
      </c>
      <c r="N24" s="117">
        <v>0</v>
      </c>
      <c r="O24" s="117">
        <v>1575.83</v>
      </c>
      <c r="P24" s="109">
        <v>218.23</v>
      </c>
      <c r="Q24" s="109">
        <v>522.94000000000005</v>
      </c>
      <c r="R24" s="109">
        <v>5229.1499999999996</v>
      </c>
    </row>
    <row r="25" spans="1:18" x14ac:dyDescent="0.3">
      <c r="A25" s="116" t="s">
        <v>321</v>
      </c>
      <c r="B25" s="116" t="s">
        <v>322</v>
      </c>
      <c r="C25" s="116" t="s">
        <v>366</v>
      </c>
      <c r="D25" s="116" t="s">
        <v>367</v>
      </c>
      <c r="E25" s="116" t="s">
        <v>368</v>
      </c>
      <c r="F25" s="116">
        <v>30</v>
      </c>
      <c r="G25" s="117">
        <v>3733.95</v>
      </c>
      <c r="H25" s="116">
        <v>0</v>
      </c>
      <c r="I25" s="116" t="s">
        <v>322</v>
      </c>
      <c r="J25" s="117">
        <v>0</v>
      </c>
      <c r="K25" s="117">
        <v>0</v>
      </c>
      <c r="L25" s="117">
        <v>0</v>
      </c>
      <c r="M25" s="117">
        <v>0</v>
      </c>
      <c r="N25" s="117">
        <v>0</v>
      </c>
      <c r="O25" s="117">
        <v>1380.11</v>
      </c>
      <c r="P25" s="109">
        <v>110.49</v>
      </c>
      <c r="Q25" s="109">
        <v>388.98</v>
      </c>
      <c r="R25" s="109">
        <v>4614.59</v>
      </c>
    </row>
    <row r="26" spans="1:18" x14ac:dyDescent="0.3">
      <c r="A26" s="116" t="s">
        <v>321</v>
      </c>
      <c r="B26" s="116" t="s">
        <v>322</v>
      </c>
      <c r="C26" s="116" t="s">
        <v>369</v>
      </c>
      <c r="D26" s="116" t="s">
        <v>367</v>
      </c>
      <c r="E26" s="116" t="s">
        <v>370</v>
      </c>
      <c r="F26" s="116">
        <v>40</v>
      </c>
      <c r="G26" s="117">
        <v>5031.74</v>
      </c>
      <c r="H26" s="116">
        <v>0</v>
      </c>
      <c r="I26" s="116" t="s">
        <v>322</v>
      </c>
      <c r="J26" s="117">
        <v>0</v>
      </c>
      <c r="K26" s="117">
        <v>0</v>
      </c>
      <c r="L26" s="117">
        <v>0</v>
      </c>
      <c r="M26" s="117">
        <v>0</v>
      </c>
      <c r="N26" s="117">
        <v>0</v>
      </c>
      <c r="O26" s="117">
        <v>2566.6</v>
      </c>
      <c r="P26" s="109">
        <v>361.61</v>
      </c>
      <c r="Q26" s="109">
        <v>390.39</v>
      </c>
      <c r="R26" s="109">
        <v>6846.34</v>
      </c>
    </row>
    <row r="27" spans="1:18" x14ac:dyDescent="0.3">
      <c r="A27" s="116" t="s">
        <v>371</v>
      </c>
      <c r="B27" s="116" t="s">
        <v>322</v>
      </c>
      <c r="C27" s="116"/>
      <c r="D27" s="116" t="s">
        <v>367</v>
      </c>
      <c r="E27" s="116" t="s">
        <v>372</v>
      </c>
      <c r="F27" s="116">
        <v>40</v>
      </c>
      <c r="G27" s="117">
        <v>7686.98</v>
      </c>
      <c r="H27" s="116">
        <v>0</v>
      </c>
      <c r="I27" s="116" t="s">
        <v>322</v>
      </c>
      <c r="J27" s="117">
        <v>0</v>
      </c>
      <c r="K27" s="117">
        <v>0</v>
      </c>
      <c r="L27" s="117">
        <v>0</v>
      </c>
      <c r="M27" s="117">
        <v>0</v>
      </c>
      <c r="N27" s="117">
        <v>0</v>
      </c>
      <c r="O27" s="117">
        <v>3074.19</v>
      </c>
      <c r="P27" s="109">
        <v>950.97</v>
      </c>
      <c r="Q27" s="109">
        <v>1010.88</v>
      </c>
      <c r="R27" s="109">
        <v>8799.32</v>
      </c>
    </row>
    <row r="28" spans="1:18" x14ac:dyDescent="0.3">
      <c r="A28" s="116" t="s">
        <v>371</v>
      </c>
      <c r="B28" s="116" t="s">
        <v>322</v>
      </c>
      <c r="C28" s="116"/>
      <c r="D28" s="116" t="s">
        <v>367</v>
      </c>
      <c r="E28" s="116" t="s">
        <v>373</v>
      </c>
      <c r="F28" s="116">
        <v>40</v>
      </c>
      <c r="G28" s="117">
        <v>7341.89</v>
      </c>
      <c r="H28" s="116">
        <v>0</v>
      </c>
      <c r="I28" s="116" t="s">
        <v>322</v>
      </c>
      <c r="J28" s="117">
        <v>0</v>
      </c>
      <c r="K28" s="117">
        <v>0</v>
      </c>
      <c r="L28" s="117">
        <v>0</v>
      </c>
      <c r="M28" s="117">
        <v>0</v>
      </c>
      <c r="N28" s="117">
        <v>0</v>
      </c>
      <c r="O28" s="117">
        <v>3074.19</v>
      </c>
      <c r="P28" s="109">
        <v>871.02</v>
      </c>
      <c r="Q28" s="109">
        <v>956.49</v>
      </c>
      <c r="R28" s="109">
        <v>8588.57</v>
      </c>
    </row>
    <row r="29" spans="1:18" x14ac:dyDescent="0.3">
      <c r="A29" s="116" t="s">
        <v>371</v>
      </c>
      <c r="B29" s="116" t="s">
        <v>322</v>
      </c>
      <c r="C29" s="116"/>
      <c r="D29" s="116" t="s">
        <v>367</v>
      </c>
      <c r="E29" s="116" t="s">
        <v>325</v>
      </c>
      <c r="F29" s="116">
        <v>40</v>
      </c>
      <c r="G29" s="117">
        <v>7334.66</v>
      </c>
      <c r="H29" s="116">
        <v>0</v>
      </c>
      <c r="I29" s="116" t="s">
        <v>322</v>
      </c>
      <c r="J29" s="117">
        <v>0</v>
      </c>
      <c r="K29" s="117">
        <v>0</v>
      </c>
      <c r="L29" s="117">
        <v>0</v>
      </c>
      <c r="M29" s="117">
        <v>0</v>
      </c>
      <c r="N29" s="117">
        <v>0</v>
      </c>
      <c r="O29" s="117">
        <v>3074.19</v>
      </c>
      <c r="P29" s="109">
        <v>765.07</v>
      </c>
      <c r="Q29" s="109">
        <v>955.37</v>
      </c>
      <c r="R29" s="109">
        <v>8688.41</v>
      </c>
    </row>
    <row r="30" spans="1:18" x14ac:dyDescent="0.3">
      <c r="A30" s="116" t="s">
        <v>371</v>
      </c>
      <c r="B30" s="116" t="s">
        <v>322</v>
      </c>
      <c r="C30" s="116" t="s">
        <v>374</v>
      </c>
      <c r="D30" s="116" t="s">
        <v>367</v>
      </c>
      <c r="E30" s="116" t="s">
        <v>325</v>
      </c>
      <c r="F30" s="116">
        <v>40</v>
      </c>
      <c r="G30" s="117">
        <v>11139.9</v>
      </c>
      <c r="H30" s="116">
        <v>0</v>
      </c>
      <c r="I30" s="116" t="s">
        <v>322</v>
      </c>
      <c r="J30" s="117">
        <v>0</v>
      </c>
      <c r="K30" s="117">
        <v>0</v>
      </c>
      <c r="L30" s="117">
        <v>0</v>
      </c>
      <c r="M30" s="117">
        <v>0</v>
      </c>
      <c r="N30" s="117">
        <v>0</v>
      </c>
      <c r="O30" s="117">
        <v>3074.19</v>
      </c>
      <c r="P30" s="109">
        <v>1763.39</v>
      </c>
      <c r="Q30" s="109">
        <v>1319.95</v>
      </c>
      <c r="R30" s="109">
        <v>11130.75</v>
      </c>
    </row>
    <row r="31" spans="1:18" x14ac:dyDescent="0.3">
      <c r="A31" s="116" t="s">
        <v>371</v>
      </c>
      <c r="B31" s="116" t="s">
        <v>322</v>
      </c>
      <c r="C31" s="116"/>
      <c r="D31" s="116" t="s">
        <v>367</v>
      </c>
      <c r="E31" s="116" t="s">
        <v>373</v>
      </c>
      <c r="F31" s="116">
        <v>40</v>
      </c>
      <c r="G31" s="117">
        <v>7662.84</v>
      </c>
      <c r="H31" s="116">
        <v>0</v>
      </c>
      <c r="I31" s="116" t="s">
        <v>322</v>
      </c>
      <c r="J31" s="117">
        <v>0</v>
      </c>
      <c r="K31" s="117">
        <v>0</v>
      </c>
      <c r="L31" s="117">
        <v>0</v>
      </c>
      <c r="M31" s="117">
        <v>0</v>
      </c>
      <c r="N31" s="117">
        <v>0</v>
      </c>
      <c r="O31" s="117">
        <v>3074.19</v>
      </c>
      <c r="P31" s="109">
        <v>945.39</v>
      </c>
      <c r="Q31" s="109">
        <v>1007.01</v>
      </c>
      <c r="R31" s="109">
        <v>8784.6299999999992</v>
      </c>
    </row>
    <row r="32" spans="1:18" x14ac:dyDescent="0.3">
      <c r="A32" s="116" t="s">
        <v>371</v>
      </c>
      <c r="B32" s="116" t="s">
        <v>322</v>
      </c>
      <c r="C32" s="116" t="s">
        <v>375</v>
      </c>
      <c r="D32" s="116" t="s">
        <v>367</v>
      </c>
      <c r="E32" s="116" t="s">
        <v>376</v>
      </c>
      <c r="F32" s="116">
        <v>40</v>
      </c>
      <c r="G32" s="117">
        <v>14016.21</v>
      </c>
      <c r="H32" s="116">
        <v>0</v>
      </c>
      <c r="I32" s="116" t="s">
        <v>322</v>
      </c>
      <c r="J32" s="117">
        <v>0</v>
      </c>
      <c r="K32" s="117">
        <v>0</v>
      </c>
      <c r="L32" s="117">
        <v>0</v>
      </c>
      <c r="M32" s="117">
        <v>0</v>
      </c>
      <c r="N32" s="117">
        <v>0</v>
      </c>
      <c r="O32" s="117">
        <v>2634.24</v>
      </c>
      <c r="P32" s="109">
        <v>2582.75</v>
      </c>
      <c r="Q32" s="109">
        <v>1319.17</v>
      </c>
      <c r="R32" s="109">
        <v>12748.53</v>
      </c>
    </row>
    <row r="33" spans="1:18" x14ac:dyDescent="0.3">
      <c r="A33" s="116" t="s">
        <v>371</v>
      </c>
      <c r="B33" s="116" t="s">
        <v>322</v>
      </c>
      <c r="C33" s="116"/>
      <c r="D33" s="116" t="s">
        <v>367</v>
      </c>
      <c r="E33" s="116" t="s">
        <v>377</v>
      </c>
      <c r="F33" s="116">
        <v>40</v>
      </c>
      <c r="G33" s="117">
        <v>7331.68</v>
      </c>
      <c r="H33" s="116">
        <v>0</v>
      </c>
      <c r="I33" s="116" t="s">
        <v>322</v>
      </c>
      <c r="J33" s="117">
        <v>0</v>
      </c>
      <c r="K33" s="117">
        <v>0</v>
      </c>
      <c r="L33" s="117">
        <v>0</v>
      </c>
      <c r="M33" s="117">
        <v>0</v>
      </c>
      <c r="N33" s="117">
        <v>0</v>
      </c>
      <c r="O33" s="117">
        <v>3074.19</v>
      </c>
      <c r="P33" s="109">
        <v>868.65</v>
      </c>
      <c r="Q33" s="109">
        <v>954.91</v>
      </c>
      <c r="R33" s="109">
        <v>8582.31</v>
      </c>
    </row>
    <row r="34" spans="1:18" x14ac:dyDescent="0.3">
      <c r="A34" s="116" t="s">
        <v>371</v>
      </c>
      <c r="B34" s="116" t="s">
        <v>322</v>
      </c>
      <c r="C34" s="116"/>
      <c r="D34" s="116" t="s">
        <v>367</v>
      </c>
      <c r="E34" s="116" t="s">
        <v>372</v>
      </c>
      <c r="F34" s="116">
        <v>40</v>
      </c>
      <c r="G34" s="117">
        <v>10243.89</v>
      </c>
      <c r="H34" s="116">
        <v>0</v>
      </c>
      <c r="I34" s="116" t="s">
        <v>322</v>
      </c>
      <c r="J34" s="117">
        <v>0</v>
      </c>
      <c r="K34" s="117">
        <v>0</v>
      </c>
      <c r="L34" s="117">
        <v>0</v>
      </c>
      <c r="M34" s="117">
        <v>0</v>
      </c>
      <c r="N34" s="117">
        <v>0</v>
      </c>
      <c r="O34" s="117">
        <v>3074.19</v>
      </c>
      <c r="P34" s="109">
        <v>1541.61</v>
      </c>
      <c r="Q34" s="109">
        <v>1419.98</v>
      </c>
      <c r="R34" s="109">
        <v>10356.49</v>
      </c>
    </row>
    <row r="35" spans="1:18" x14ac:dyDescent="0.3">
      <c r="A35" s="116" t="s">
        <v>371</v>
      </c>
      <c r="B35" s="116" t="s">
        <v>322</v>
      </c>
      <c r="C35" s="116"/>
      <c r="D35" s="116" t="s">
        <v>367</v>
      </c>
      <c r="E35" s="116" t="s">
        <v>378</v>
      </c>
      <c r="F35" s="116">
        <v>40</v>
      </c>
      <c r="G35" s="117">
        <v>10227.219999999999</v>
      </c>
      <c r="H35" s="116">
        <v>0</v>
      </c>
      <c r="I35" s="116" t="s">
        <v>322</v>
      </c>
      <c r="J35" s="117">
        <v>0</v>
      </c>
      <c r="K35" s="117">
        <v>0</v>
      </c>
      <c r="L35" s="117">
        <v>0</v>
      </c>
      <c r="M35" s="117">
        <v>0</v>
      </c>
      <c r="N35" s="117">
        <v>0</v>
      </c>
      <c r="O35" s="117">
        <v>3074.19</v>
      </c>
      <c r="P35" s="109">
        <v>1717.07</v>
      </c>
      <c r="Q35" s="109">
        <v>765.29</v>
      </c>
      <c r="R35" s="109">
        <v>10819.05</v>
      </c>
    </row>
    <row r="36" spans="1:18" x14ac:dyDescent="0.3">
      <c r="A36" s="116" t="s">
        <v>371</v>
      </c>
      <c r="B36" s="116" t="s">
        <v>322</v>
      </c>
      <c r="C36" s="116"/>
      <c r="D36" s="116" t="s">
        <v>367</v>
      </c>
      <c r="E36" s="116" t="s">
        <v>379</v>
      </c>
      <c r="F36" s="116">
        <v>40</v>
      </c>
      <c r="G36" s="117">
        <v>9776.76</v>
      </c>
      <c r="H36" s="116">
        <v>0</v>
      </c>
      <c r="I36" s="116" t="s">
        <v>322</v>
      </c>
      <c r="J36" s="117">
        <v>0</v>
      </c>
      <c r="K36" s="117">
        <v>0</v>
      </c>
      <c r="L36" s="117">
        <v>0</v>
      </c>
      <c r="M36" s="117">
        <v>0</v>
      </c>
      <c r="N36" s="117">
        <v>0</v>
      </c>
      <c r="O36" s="117">
        <v>1463.9</v>
      </c>
      <c r="P36" s="109">
        <v>1611.77</v>
      </c>
      <c r="Q36" s="109">
        <v>697.73</v>
      </c>
      <c r="R36" s="109">
        <v>8931.16</v>
      </c>
    </row>
    <row r="37" spans="1:18" x14ac:dyDescent="0.3">
      <c r="A37" s="116" t="s">
        <v>371</v>
      </c>
      <c r="B37" s="116" t="s">
        <v>322</v>
      </c>
      <c r="C37" s="116"/>
      <c r="D37" s="116" t="s">
        <v>367</v>
      </c>
      <c r="E37" s="116" t="s">
        <v>380</v>
      </c>
      <c r="F37" s="116">
        <v>40</v>
      </c>
      <c r="G37" s="117">
        <v>10235.56</v>
      </c>
      <c r="H37" s="116">
        <v>0</v>
      </c>
      <c r="I37" s="116" t="s">
        <v>322</v>
      </c>
      <c r="J37" s="117">
        <v>0</v>
      </c>
      <c r="K37" s="117">
        <v>0</v>
      </c>
      <c r="L37" s="117">
        <v>0</v>
      </c>
      <c r="M37" s="117">
        <v>0</v>
      </c>
      <c r="N37" s="117">
        <v>0</v>
      </c>
      <c r="O37" s="117">
        <v>1610.29</v>
      </c>
      <c r="P37" s="109">
        <v>1539.69</v>
      </c>
      <c r="Q37" s="109">
        <v>1418.65</v>
      </c>
      <c r="R37" s="109">
        <v>8887.51</v>
      </c>
    </row>
    <row r="38" spans="1:18" x14ac:dyDescent="0.3">
      <c r="A38" s="116" t="s">
        <v>371</v>
      </c>
      <c r="B38" s="116" t="s">
        <v>322</v>
      </c>
      <c r="C38" s="116"/>
      <c r="D38" s="116" t="s">
        <v>367</v>
      </c>
      <c r="E38" s="116" t="s">
        <v>381</v>
      </c>
      <c r="F38" s="116">
        <v>40</v>
      </c>
      <c r="G38" s="117">
        <v>21995.53</v>
      </c>
      <c r="H38" s="116">
        <v>0</v>
      </c>
      <c r="I38" s="116" t="s">
        <v>322</v>
      </c>
      <c r="J38" s="117">
        <v>0</v>
      </c>
      <c r="K38" s="117">
        <v>0</v>
      </c>
      <c r="L38" s="117">
        <v>0</v>
      </c>
      <c r="M38" s="117">
        <v>0</v>
      </c>
      <c r="N38" s="117">
        <v>0</v>
      </c>
      <c r="O38" s="117">
        <v>3300.24</v>
      </c>
      <c r="P38" s="109">
        <v>5163.8100000000004</v>
      </c>
      <c r="Q38" s="109">
        <v>3300.24</v>
      </c>
      <c r="R38" s="109">
        <v>16831.72</v>
      </c>
    </row>
    <row r="39" spans="1:18" x14ac:dyDescent="0.3">
      <c r="A39" s="116" t="s">
        <v>371</v>
      </c>
      <c r="B39" s="116" t="s">
        <v>322</v>
      </c>
      <c r="C39" s="116" t="s">
        <v>382</v>
      </c>
      <c r="D39" s="116" t="s">
        <v>367</v>
      </c>
      <c r="E39" s="116" t="s">
        <v>381</v>
      </c>
      <c r="F39" s="116">
        <v>40</v>
      </c>
      <c r="G39" s="117">
        <v>10553.19</v>
      </c>
      <c r="H39" s="116">
        <v>0</v>
      </c>
      <c r="I39" s="116" t="s">
        <v>322</v>
      </c>
      <c r="J39" s="117">
        <v>0</v>
      </c>
      <c r="K39" s="117">
        <v>0</v>
      </c>
      <c r="L39" s="117">
        <v>0</v>
      </c>
      <c r="M39" s="117">
        <v>0</v>
      </c>
      <c r="N39" s="117">
        <v>0</v>
      </c>
      <c r="O39" s="117">
        <v>4600.8599999999997</v>
      </c>
      <c r="P39" s="109">
        <v>2161.37</v>
      </c>
      <c r="Q39" s="109">
        <v>1002.3</v>
      </c>
      <c r="R39" s="109">
        <v>11990.38</v>
      </c>
    </row>
    <row r="40" spans="1:18" x14ac:dyDescent="0.3">
      <c r="A40" s="116" t="s">
        <v>371</v>
      </c>
      <c r="B40" s="116" t="s">
        <v>322</v>
      </c>
      <c r="C40" s="116"/>
      <c r="D40" s="116" t="s">
        <v>367</v>
      </c>
      <c r="E40" s="116" t="s">
        <v>368</v>
      </c>
      <c r="F40" s="116">
        <v>40</v>
      </c>
      <c r="G40" s="117">
        <v>4717.25</v>
      </c>
      <c r="H40" s="116">
        <v>0</v>
      </c>
      <c r="I40" s="116" t="s">
        <v>322</v>
      </c>
      <c r="J40" s="117">
        <v>0</v>
      </c>
      <c r="K40" s="117">
        <v>0</v>
      </c>
      <c r="L40" s="117">
        <v>0</v>
      </c>
      <c r="M40" s="117">
        <v>0</v>
      </c>
      <c r="N40" s="117">
        <v>0</v>
      </c>
      <c r="O40" s="117">
        <v>2822.26</v>
      </c>
      <c r="P40" s="109">
        <v>290.85000000000002</v>
      </c>
      <c r="Q40" s="109">
        <v>486.35</v>
      </c>
      <c r="R40" s="109">
        <v>6762.31</v>
      </c>
    </row>
    <row r="41" spans="1:18" x14ac:dyDescent="0.3">
      <c r="A41" s="116" t="s">
        <v>371</v>
      </c>
      <c r="B41" s="116" t="s">
        <v>322</v>
      </c>
      <c r="C41" s="116" t="s">
        <v>350</v>
      </c>
      <c r="D41" s="116" t="s">
        <v>367</v>
      </c>
      <c r="E41" s="116" t="s">
        <v>379</v>
      </c>
      <c r="F41" s="116">
        <v>40</v>
      </c>
      <c r="G41" s="117">
        <v>12269.95</v>
      </c>
      <c r="H41" s="116">
        <v>0</v>
      </c>
      <c r="I41" s="116" t="s">
        <v>322</v>
      </c>
      <c r="J41" s="117">
        <v>0</v>
      </c>
      <c r="K41" s="117">
        <v>0</v>
      </c>
      <c r="L41" s="117">
        <v>0</v>
      </c>
      <c r="M41" s="117">
        <v>0</v>
      </c>
      <c r="N41" s="117">
        <v>0</v>
      </c>
      <c r="O41" s="117">
        <v>2781.41</v>
      </c>
      <c r="P41" s="109">
        <v>2279.7800000000002</v>
      </c>
      <c r="Q41" s="109">
        <v>761.81</v>
      </c>
      <c r="R41" s="109">
        <v>12009.77</v>
      </c>
    </row>
    <row r="42" spans="1:18" x14ac:dyDescent="0.3">
      <c r="A42" s="116" t="s">
        <v>371</v>
      </c>
      <c r="B42" s="116" t="s">
        <v>322</v>
      </c>
      <c r="C42" s="116"/>
      <c r="D42" s="116" t="s">
        <v>367</v>
      </c>
      <c r="E42" s="116" t="s">
        <v>383</v>
      </c>
      <c r="F42" s="116">
        <v>40</v>
      </c>
      <c r="G42" s="117">
        <v>9616.7800000000007</v>
      </c>
      <c r="H42" s="116">
        <v>0</v>
      </c>
      <c r="I42" s="116" t="s">
        <v>322</v>
      </c>
      <c r="J42" s="117">
        <v>0</v>
      </c>
      <c r="K42" s="117">
        <v>0</v>
      </c>
      <c r="L42" s="117">
        <v>0</v>
      </c>
      <c r="M42" s="117">
        <v>0</v>
      </c>
      <c r="N42" s="117">
        <v>0</v>
      </c>
      <c r="O42" s="117">
        <v>3074.19</v>
      </c>
      <c r="P42" s="109">
        <v>1574.21</v>
      </c>
      <c r="Q42" s="109">
        <v>674.34</v>
      </c>
      <c r="R42" s="109">
        <v>10442.42</v>
      </c>
    </row>
    <row r="43" spans="1:18" x14ac:dyDescent="0.3">
      <c r="A43" s="116" t="s">
        <v>371</v>
      </c>
      <c r="B43" s="116" t="s">
        <v>322</v>
      </c>
      <c r="C43" s="116"/>
      <c r="D43" s="116" t="s">
        <v>367</v>
      </c>
      <c r="E43" s="116" t="s">
        <v>383</v>
      </c>
      <c r="F43" s="116">
        <v>40</v>
      </c>
      <c r="G43" s="117">
        <v>9780.34</v>
      </c>
      <c r="H43" s="116">
        <v>0</v>
      </c>
      <c r="I43" s="116" t="s">
        <v>322</v>
      </c>
      <c r="J43" s="117">
        <v>0</v>
      </c>
      <c r="K43" s="117">
        <v>0</v>
      </c>
      <c r="L43" s="117">
        <v>0</v>
      </c>
      <c r="M43" s="117">
        <v>0</v>
      </c>
      <c r="N43" s="117">
        <v>0</v>
      </c>
      <c r="O43" s="117">
        <v>1024.73</v>
      </c>
      <c r="P43" s="109">
        <v>1606.01</v>
      </c>
      <c r="Q43" s="109">
        <v>698.26</v>
      </c>
      <c r="R43" s="109">
        <v>8500.7999999999993</v>
      </c>
    </row>
    <row r="44" spans="1:18" x14ac:dyDescent="0.3">
      <c r="A44" s="116" t="s">
        <v>371</v>
      </c>
      <c r="B44" s="116" t="s">
        <v>322</v>
      </c>
      <c r="C44" s="116" t="s">
        <v>382</v>
      </c>
      <c r="D44" s="116" t="s">
        <v>367</v>
      </c>
      <c r="E44" s="116" t="s">
        <v>368</v>
      </c>
      <c r="F44" s="116">
        <v>40</v>
      </c>
      <c r="G44" s="117">
        <v>10897.6</v>
      </c>
      <c r="H44" s="116">
        <v>0</v>
      </c>
      <c r="I44" s="116" t="s">
        <v>322</v>
      </c>
      <c r="J44" s="117">
        <v>0</v>
      </c>
      <c r="K44" s="117">
        <v>0</v>
      </c>
      <c r="L44" s="117">
        <v>0</v>
      </c>
      <c r="M44" s="117">
        <v>0</v>
      </c>
      <c r="N44" s="117">
        <v>0</v>
      </c>
      <c r="O44" s="117">
        <v>2150.67</v>
      </c>
      <c r="P44" s="109">
        <v>1902.64</v>
      </c>
      <c r="Q44" s="109">
        <v>760.85</v>
      </c>
      <c r="R44" s="109">
        <v>10384.780000000001</v>
      </c>
    </row>
    <row r="45" spans="1:18" x14ac:dyDescent="0.3">
      <c r="A45" s="116" t="s">
        <v>371</v>
      </c>
      <c r="B45" s="116" t="s">
        <v>322</v>
      </c>
      <c r="C45" s="116"/>
      <c r="D45" s="116" t="s">
        <v>367</v>
      </c>
      <c r="E45" s="116" t="s">
        <v>325</v>
      </c>
      <c r="F45" s="116">
        <v>40</v>
      </c>
      <c r="G45" s="117">
        <v>9868.2199999999993</v>
      </c>
      <c r="H45" s="116">
        <v>0</v>
      </c>
      <c r="I45" s="116" t="s">
        <v>322</v>
      </c>
      <c r="J45" s="117">
        <v>0</v>
      </c>
      <c r="K45" s="117">
        <v>0</v>
      </c>
      <c r="L45" s="117">
        <v>0</v>
      </c>
      <c r="M45" s="117">
        <v>0</v>
      </c>
      <c r="N45" s="117">
        <v>0</v>
      </c>
      <c r="O45" s="117">
        <v>3074.19</v>
      </c>
      <c r="P45" s="109">
        <v>1454.83</v>
      </c>
      <c r="Q45" s="109">
        <v>1359.88</v>
      </c>
      <c r="R45" s="109">
        <v>10127.700000000001</v>
      </c>
    </row>
    <row r="46" spans="1:18" x14ac:dyDescent="0.3">
      <c r="A46" s="116" t="s">
        <v>371</v>
      </c>
      <c r="B46" s="116" t="s">
        <v>322</v>
      </c>
      <c r="C46" s="116"/>
      <c r="D46" s="116" t="s">
        <v>367</v>
      </c>
      <c r="E46" s="116" t="s">
        <v>377</v>
      </c>
      <c r="F46" s="116">
        <v>40</v>
      </c>
      <c r="G46" s="117">
        <v>9868.2199999999993</v>
      </c>
      <c r="H46" s="116">
        <v>0</v>
      </c>
      <c r="I46" s="116" t="s">
        <v>322</v>
      </c>
      <c r="J46" s="117">
        <v>0</v>
      </c>
      <c r="K46" s="117">
        <v>0</v>
      </c>
      <c r="L46" s="117">
        <v>0</v>
      </c>
      <c r="M46" s="117">
        <v>0</v>
      </c>
      <c r="N46" s="117">
        <v>0</v>
      </c>
      <c r="O46" s="117">
        <v>3074.19</v>
      </c>
      <c r="P46" s="109">
        <v>1402.29</v>
      </c>
      <c r="Q46" s="109">
        <v>1423.24</v>
      </c>
      <c r="R46" s="109">
        <v>10116.879999999999</v>
      </c>
    </row>
    <row r="47" spans="1:18" x14ac:dyDescent="0.3">
      <c r="A47" s="116" t="s">
        <v>371</v>
      </c>
      <c r="B47" s="116" t="s">
        <v>322</v>
      </c>
      <c r="C47" s="116"/>
      <c r="D47" s="116" t="s">
        <v>367</v>
      </c>
      <c r="E47" s="116" t="s">
        <v>377</v>
      </c>
      <c r="F47" s="116">
        <v>40</v>
      </c>
      <c r="G47" s="117">
        <v>9868.2199999999993</v>
      </c>
      <c r="H47" s="116">
        <v>0</v>
      </c>
      <c r="I47" s="116" t="s">
        <v>322</v>
      </c>
      <c r="J47" s="117">
        <v>0</v>
      </c>
      <c r="K47" s="117">
        <v>0</v>
      </c>
      <c r="L47" s="117">
        <v>0</v>
      </c>
      <c r="M47" s="117">
        <v>0</v>
      </c>
      <c r="N47" s="117">
        <v>0</v>
      </c>
      <c r="O47" s="117">
        <v>3074.19</v>
      </c>
      <c r="P47" s="109">
        <v>1616.89</v>
      </c>
      <c r="Q47" s="109">
        <v>770.6</v>
      </c>
      <c r="R47" s="109">
        <v>10554.92</v>
      </c>
    </row>
    <row r="48" spans="1:18" x14ac:dyDescent="0.3">
      <c r="A48" s="116" t="s">
        <v>371</v>
      </c>
      <c r="B48" s="116" t="s">
        <v>322</v>
      </c>
      <c r="C48" s="116"/>
      <c r="D48" s="116" t="s">
        <v>367</v>
      </c>
      <c r="E48" s="116" t="s">
        <v>384</v>
      </c>
      <c r="F48" s="116">
        <v>40</v>
      </c>
      <c r="G48" s="117">
        <v>24400.799999999999</v>
      </c>
      <c r="H48" s="116">
        <v>0</v>
      </c>
      <c r="I48" s="116" t="s">
        <v>322</v>
      </c>
      <c r="J48" s="117">
        <v>0</v>
      </c>
      <c r="K48" s="117">
        <v>0</v>
      </c>
      <c r="L48" s="117">
        <v>0</v>
      </c>
      <c r="M48" s="117">
        <v>0</v>
      </c>
      <c r="N48" s="117">
        <v>0</v>
      </c>
      <c r="O48" s="117">
        <v>6759.28</v>
      </c>
      <c r="P48" s="109">
        <v>5825.26</v>
      </c>
      <c r="Q48" s="109">
        <v>3685.09</v>
      </c>
      <c r="R48" s="109">
        <v>21649.73</v>
      </c>
    </row>
    <row r="49" spans="1:18" x14ac:dyDescent="0.3">
      <c r="A49" s="116" t="s">
        <v>371</v>
      </c>
      <c r="B49" s="116" t="s">
        <v>322</v>
      </c>
      <c r="C49" s="116" t="s">
        <v>369</v>
      </c>
      <c r="D49" s="116" t="s">
        <v>367</v>
      </c>
      <c r="E49" s="116" t="s">
        <v>377</v>
      </c>
      <c r="F49" s="116">
        <v>40</v>
      </c>
      <c r="G49" s="117">
        <v>11289.14</v>
      </c>
      <c r="H49" s="116">
        <v>0</v>
      </c>
      <c r="I49" s="116" t="s">
        <v>322</v>
      </c>
      <c r="J49" s="117">
        <v>0</v>
      </c>
      <c r="K49" s="117">
        <v>0</v>
      </c>
      <c r="L49" s="117">
        <v>0</v>
      </c>
      <c r="M49" s="117">
        <v>0</v>
      </c>
      <c r="N49" s="117">
        <v>0</v>
      </c>
      <c r="O49" s="117">
        <v>3665.44</v>
      </c>
      <c r="P49" s="109">
        <v>2198.9499999999998</v>
      </c>
      <c r="Q49" s="109">
        <v>1323.2</v>
      </c>
      <c r="R49" s="109">
        <v>11432.43</v>
      </c>
    </row>
    <row r="50" spans="1:18" x14ac:dyDescent="0.3">
      <c r="A50" s="116" t="s">
        <v>371</v>
      </c>
      <c r="B50" s="116" t="s">
        <v>322</v>
      </c>
      <c r="C50" s="116"/>
      <c r="D50" s="116" t="s">
        <v>367</v>
      </c>
      <c r="E50" s="116" t="s">
        <v>385</v>
      </c>
      <c r="F50" s="116">
        <v>40</v>
      </c>
      <c r="G50" s="117">
        <v>7742.48</v>
      </c>
      <c r="H50" s="116">
        <v>0</v>
      </c>
      <c r="I50" s="116" t="s">
        <v>322</v>
      </c>
      <c r="J50" s="117">
        <v>0</v>
      </c>
      <c r="K50" s="117">
        <v>0</v>
      </c>
      <c r="L50" s="117">
        <v>0</v>
      </c>
      <c r="M50" s="117">
        <v>0</v>
      </c>
      <c r="N50" s="117">
        <v>0</v>
      </c>
      <c r="O50" s="117">
        <v>1610.29</v>
      </c>
      <c r="P50" s="109">
        <v>974.13</v>
      </c>
      <c r="Q50" s="109">
        <v>982.16</v>
      </c>
      <c r="R50" s="109">
        <v>7396.48</v>
      </c>
    </row>
    <row r="51" spans="1:18" x14ac:dyDescent="0.3">
      <c r="A51" s="116" t="s">
        <v>371</v>
      </c>
      <c r="B51" s="116" t="s">
        <v>322</v>
      </c>
      <c r="C51" s="116"/>
      <c r="D51" s="116" t="s">
        <v>367</v>
      </c>
      <c r="E51" s="116" t="s">
        <v>379</v>
      </c>
      <c r="F51" s="116">
        <v>40</v>
      </c>
      <c r="G51" s="117">
        <v>7729.38</v>
      </c>
      <c r="H51" s="116">
        <v>0</v>
      </c>
      <c r="I51" s="116" t="s">
        <v>322</v>
      </c>
      <c r="J51" s="117">
        <v>0</v>
      </c>
      <c r="K51" s="117">
        <v>0</v>
      </c>
      <c r="L51" s="117">
        <v>0</v>
      </c>
      <c r="M51" s="117">
        <v>0</v>
      </c>
      <c r="N51" s="117">
        <v>0</v>
      </c>
      <c r="O51" s="117">
        <v>3074.19</v>
      </c>
      <c r="P51" s="109">
        <v>970.53</v>
      </c>
      <c r="Q51" s="109">
        <v>982.16</v>
      </c>
      <c r="R51" s="109">
        <v>8850.8799999999992</v>
      </c>
    </row>
    <row r="52" spans="1:18" x14ac:dyDescent="0.3">
      <c r="A52" s="116" t="s">
        <v>371</v>
      </c>
      <c r="B52" s="116" t="s">
        <v>322</v>
      </c>
      <c r="C52" s="116"/>
      <c r="D52" s="116" t="s">
        <v>367</v>
      </c>
      <c r="E52" s="116" t="s">
        <v>372</v>
      </c>
      <c r="F52" s="116">
        <v>40</v>
      </c>
      <c r="G52" s="117">
        <v>10229.530000000001</v>
      </c>
      <c r="H52" s="116">
        <v>0</v>
      </c>
      <c r="I52" s="116" t="s">
        <v>322</v>
      </c>
      <c r="J52" s="117">
        <v>0</v>
      </c>
      <c r="K52" s="117">
        <v>0</v>
      </c>
      <c r="L52" s="117">
        <v>0</v>
      </c>
      <c r="M52" s="117">
        <v>0</v>
      </c>
      <c r="N52" s="117">
        <v>0</v>
      </c>
      <c r="O52" s="117">
        <v>2927.8</v>
      </c>
      <c r="P52" s="109">
        <v>1665.47</v>
      </c>
      <c r="Q52" s="109">
        <v>765.64</v>
      </c>
      <c r="R52" s="109">
        <v>10726.22</v>
      </c>
    </row>
    <row r="53" spans="1:18" x14ac:dyDescent="0.3">
      <c r="A53" s="116" t="s">
        <v>371</v>
      </c>
      <c r="B53" s="116" t="s">
        <v>322</v>
      </c>
      <c r="C53" s="116"/>
      <c r="D53" s="116" t="s">
        <v>367</v>
      </c>
      <c r="E53" s="116" t="s">
        <v>386</v>
      </c>
      <c r="F53" s="116">
        <v>40</v>
      </c>
      <c r="G53" s="117">
        <v>9232.7000000000007</v>
      </c>
      <c r="H53" s="116">
        <v>0</v>
      </c>
      <c r="I53" s="116" t="s">
        <v>322</v>
      </c>
      <c r="J53" s="117">
        <v>0</v>
      </c>
      <c r="K53" s="117">
        <v>0</v>
      </c>
      <c r="L53" s="117">
        <v>0</v>
      </c>
      <c r="M53" s="117">
        <v>0</v>
      </c>
      <c r="N53" s="117">
        <v>0</v>
      </c>
      <c r="O53" s="117">
        <v>2049.46</v>
      </c>
      <c r="P53" s="109">
        <v>1308.03</v>
      </c>
      <c r="Q53" s="109">
        <v>1258.19</v>
      </c>
      <c r="R53" s="109">
        <v>8715.94</v>
      </c>
    </row>
    <row r="54" spans="1:18" x14ac:dyDescent="0.3">
      <c r="A54" s="116" t="s">
        <v>371</v>
      </c>
      <c r="B54" s="116" t="s">
        <v>322</v>
      </c>
      <c r="C54" s="116" t="s">
        <v>375</v>
      </c>
      <c r="D54" s="116" t="s">
        <v>367</v>
      </c>
      <c r="E54" s="116" t="s">
        <v>387</v>
      </c>
      <c r="F54" s="116">
        <v>40</v>
      </c>
      <c r="G54" s="117">
        <v>14238.36</v>
      </c>
      <c r="H54" s="116">
        <v>0</v>
      </c>
      <c r="I54" s="116" t="s">
        <v>322</v>
      </c>
      <c r="J54" s="117">
        <v>0</v>
      </c>
      <c r="K54" s="117">
        <v>0</v>
      </c>
      <c r="L54" s="117">
        <v>0</v>
      </c>
      <c r="M54" s="117">
        <v>0</v>
      </c>
      <c r="N54" s="117">
        <v>0</v>
      </c>
      <c r="O54" s="117">
        <v>0</v>
      </c>
      <c r="P54" s="109">
        <v>2663.59</v>
      </c>
      <c r="Q54" s="109">
        <v>765.76</v>
      </c>
      <c r="R54" s="109">
        <v>10809.01</v>
      </c>
    </row>
    <row r="55" spans="1:18" x14ac:dyDescent="0.3">
      <c r="A55" s="116" t="s">
        <v>371</v>
      </c>
      <c r="B55" s="116" t="s">
        <v>322</v>
      </c>
      <c r="C55" s="116"/>
      <c r="D55" s="116" t="s">
        <v>367</v>
      </c>
      <c r="E55" s="116" t="s">
        <v>368</v>
      </c>
      <c r="F55" s="116">
        <v>40</v>
      </c>
      <c r="G55" s="117">
        <v>4717.25</v>
      </c>
      <c r="H55" s="116">
        <v>0</v>
      </c>
      <c r="I55" s="116" t="s">
        <v>322</v>
      </c>
      <c r="J55" s="117">
        <v>0</v>
      </c>
      <c r="K55" s="117">
        <v>0</v>
      </c>
      <c r="L55" s="117">
        <v>0</v>
      </c>
      <c r="M55" s="117">
        <v>0</v>
      </c>
      <c r="N55" s="117">
        <v>0</v>
      </c>
      <c r="O55" s="117">
        <v>2953.21</v>
      </c>
      <c r="P55" s="109">
        <v>290.85000000000002</v>
      </c>
      <c r="Q55" s="109">
        <v>486.35</v>
      </c>
      <c r="R55" s="109">
        <v>6893.26</v>
      </c>
    </row>
    <row r="56" spans="1:18" x14ac:dyDescent="0.3">
      <c r="A56" s="116" t="s">
        <v>371</v>
      </c>
      <c r="B56" s="116" t="s">
        <v>322</v>
      </c>
      <c r="C56" s="116"/>
      <c r="D56" s="116" t="s">
        <v>367</v>
      </c>
      <c r="E56" s="116" t="s">
        <v>325</v>
      </c>
      <c r="F56" s="116">
        <v>40</v>
      </c>
      <c r="G56" s="117">
        <v>12275.26</v>
      </c>
      <c r="H56" s="116">
        <v>0</v>
      </c>
      <c r="I56" s="116" t="s">
        <v>322</v>
      </c>
      <c r="J56" s="117">
        <v>0</v>
      </c>
      <c r="K56" s="117">
        <v>0</v>
      </c>
      <c r="L56" s="117">
        <v>0</v>
      </c>
      <c r="M56" s="117">
        <v>0</v>
      </c>
      <c r="N56" s="117">
        <v>0</v>
      </c>
      <c r="O56" s="117">
        <v>1610.29</v>
      </c>
      <c r="P56" s="109">
        <v>1958.72</v>
      </c>
      <c r="Q56" s="109">
        <v>1745</v>
      </c>
      <c r="R56" s="109">
        <v>10181.83</v>
      </c>
    </row>
    <row r="57" spans="1:18" x14ac:dyDescent="0.3">
      <c r="A57" s="116" t="s">
        <v>371</v>
      </c>
      <c r="B57" s="116" t="s">
        <v>322</v>
      </c>
      <c r="C57" s="116"/>
      <c r="D57" s="116" t="s">
        <v>367</v>
      </c>
      <c r="E57" s="116" t="s">
        <v>377</v>
      </c>
      <c r="F57" s="116">
        <v>40</v>
      </c>
      <c r="G57" s="117">
        <v>11576.22</v>
      </c>
      <c r="H57" s="116">
        <v>0</v>
      </c>
      <c r="I57" s="116" t="s">
        <v>322</v>
      </c>
      <c r="J57" s="117">
        <v>0</v>
      </c>
      <c r="K57" s="117">
        <v>0</v>
      </c>
      <c r="L57" s="117">
        <v>0</v>
      </c>
      <c r="M57" s="117">
        <v>0</v>
      </c>
      <c r="N57" s="117">
        <v>0</v>
      </c>
      <c r="O57" s="117">
        <v>4707.3500000000004</v>
      </c>
      <c r="P57" s="109">
        <v>2298.5</v>
      </c>
      <c r="Q57" s="109">
        <v>1633.16</v>
      </c>
      <c r="R57" s="109">
        <v>12351.91</v>
      </c>
    </row>
    <row r="58" spans="1:18" x14ac:dyDescent="0.3">
      <c r="A58" s="116" t="s">
        <v>371</v>
      </c>
      <c r="B58" s="116" t="s">
        <v>322</v>
      </c>
      <c r="C58" s="116"/>
      <c r="D58" s="116" t="s">
        <v>367</v>
      </c>
      <c r="E58" s="116" t="s">
        <v>368</v>
      </c>
      <c r="F58" s="116">
        <v>40</v>
      </c>
      <c r="G58" s="117">
        <v>4717.25</v>
      </c>
      <c r="H58" s="116">
        <v>0</v>
      </c>
      <c r="I58" s="116" t="s">
        <v>322</v>
      </c>
      <c r="J58" s="117">
        <v>1572.42</v>
      </c>
      <c r="K58" s="117">
        <v>0</v>
      </c>
      <c r="L58" s="117">
        <v>0</v>
      </c>
      <c r="M58" s="117">
        <v>0</v>
      </c>
      <c r="N58" s="117">
        <v>0</v>
      </c>
      <c r="O58" s="117">
        <v>3102.16</v>
      </c>
      <c r="P58" s="109">
        <v>250.69</v>
      </c>
      <c r="Q58" s="109">
        <v>706.48</v>
      </c>
      <c r="R58" s="109">
        <v>8434.66</v>
      </c>
    </row>
    <row r="59" spans="1:18" x14ac:dyDescent="0.3">
      <c r="A59" s="116" t="s">
        <v>371</v>
      </c>
      <c r="B59" s="116" t="s">
        <v>322</v>
      </c>
      <c r="C59" s="116" t="s">
        <v>369</v>
      </c>
      <c r="D59" s="116" t="s">
        <v>367</v>
      </c>
      <c r="E59" s="116" t="s">
        <v>388</v>
      </c>
      <c r="F59" s="116">
        <v>40</v>
      </c>
      <c r="G59" s="117">
        <v>10549.28</v>
      </c>
      <c r="H59" s="116">
        <v>0</v>
      </c>
      <c r="I59" s="116" t="s">
        <v>322</v>
      </c>
      <c r="J59" s="117">
        <v>0</v>
      </c>
      <c r="K59" s="117">
        <v>0</v>
      </c>
      <c r="L59" s="117">
        <v>0</v>
      </c>
      <c r="M59" s="117">
        <v>0</v>
      </c>
      <c r="N59" s="117">
        <v>0</v>
      </c>
      <c r="O59" s="117">
        <v>1610.29</v>
      </c>
      <c r="P59" s="109">
        <v>1755.93</v>
      </c>
      <c r="Q59" s="109">
        <v>756.44</v>
      </c>
      <c r="R59" s="109">
        <v>9647.2000000000007</v>
      </c>
    </row>
    <row r="60" spans="1:18" x14ac:dyDescent="0.3">
      <c r="A60" s="116" t="s">
        <v>371</v>
      </c>
      <c r="B60" s="116" t="s">
        <v>322</v>
      </c>
      <c r="C60" s="116"/>
      <c r="D60" s="116" t="s">
        <v>367</v>
      </c>
      <c r="E60" s="116" t="s">
        <v>377</v>
      </c>
      <c r="F60" s="116">
        <v>40</v>
      </c>
      <c r="G60" s="117">
        <v>9832.85</v>
      </c>
      <c r="H60" s="116">
        <v>0</v>
      </c>
      <c r="I60" s="116" t="s">
        <v>322</v>
      </c>
      <c r="J60" s="117">
        <v>0</v>
      </c>
      <c r="K60" s="117">
        <v>0</v>
      </c>
      <c r="L60" s="117">
        <v>0</v>
      </c>
      <c r="M60" s="117">
        <v>0</v>
      </c>
      <c r="N60" s="117">
        <v>0</v>
      </c>
      <c r="O60" s="117">
        <v>3074.19</v>
      </c>
      <c r="P60" s="109">
        <v>1556.48</v>
      </c>
      <c r="Q60" s="109">
        <v>765.29</v>
      </c>
      <c r="R60" s="109">
        <v>10585.27</v>
      </c>
    </row>
    <row r="61" spans="1:18" x14ac:dyDescent="0.3">
      <c r="A61" s="116" t="s">
        <v>371</v>
      </c>
      <c r="B61" s="116" t="s">
        <v>322</v>
      </c>
      <c r="C61" s="116"/>
      <c r="D61" s="116" t="s">
        <v>367</v>
      </c>
      <c r="E61" s="116" t="s">
        <v>368</v>
      </c>
      <c r="F61" s="116">
        <v>40</v>
      </c>
      <c r="G61" s="117">
        <v>4717.25</v>
      </c>
      <c r="H61" s="116">
        <v>0</v>
      </c>
      <c r="I61" s="116" t="s">
        <v>322</v>
      </c>
      <c r="J61" s="117">
        <v>0</v>
      </c>
      <c r="K61" s="117">
        <v>0</v>
      </c>
      <c r="L61" s="117">
        <v>0</v>
      </c>
      <c r="M61" s="117">
        <v>0</v>
      </c>
      <c r="N61" s="117">
        <v>0</v>
      </c>
      <c r="O61" s="117">
        <v>0</v>
      </c>
      <c r="P61" s="109">
        <v>0</v>
      </c>
      <c r="Q61" s="109">
        <v>190.71</v>
      </c>
      <c r="R61" s="109">
        <v>4526.54</v>
      </c>
    </row>
    <row r="62" spans="1:18" x14ac:dyDescent="0.3">
      <c r="A62" s="116" t="s">
        <v>371</v>
      </c>
      <c r="B62" s="116" t="s">
        <v>322</v>
      </c>
      <c r="C62" s="116"/>
      <c r="D62" s="116" t="s">
        <v>367</v>
      </c>
      <c r="E62" s="116" t="s">
        <v>378</v>
      </c>
      <c r="F62" s="116">
        <v>40</v>
      </c>
      <c r="G62" s="117">
        <v>7741.3</v>
      </c>
      <c r="H62" s="116">
        <v>0</v>
      </c>
      <c r="I62" s="116" t="s">
        <v>322</v>
      </c>
      <c r="J62" s="117">
        <v>0</v>
      </c>
      <c r="K62" s="117">
        <v>0</v>
      </c>
      <c r="L62" s="117">
        <v>0</v>
      </c>
      <c r="M62" s="117">
        <v>0</v>
      </c>
      <c r="N62" s="117">
        <v>0</v>
      </c>
      <c r="O62" s="117">
        <v>2781.41</v>
      </c>
      <c r="P62" s="109">
        <v>973.8</v>
      </c>
      <c r="Q62" s="109">
        <v>982.16</v>
      </c>
      <c r="R62" s="109">
        <v>8566.75</v>
      </c>
    </row>
    <row r="63" spans="1:18" x14ac:dyDescent="0.3">
      <c r="A63" s="116" t="s">
        <v>371</v>
      </c>
      <c r="B63" s="116" t="s">
        <v>322</v>
      </c>
      <c r="C63" s="116"/>
      <c r="D63" s="116" t="s">
        <v>367</v>
      </c>
      <c r="E63" s="116" t="s">
        <v>378</v>
      </c>
      <c r="F63" s="116">
        <v>40</v>
      </c>
      <c r="G63" s="117">
        <v>9816.7900000000009</v>
      </c>
      <c r="H63" s="116">
        <v>0</v>
      </c>
      <c r="I63" s="116" t="s">
        <v>322</v>
      </c>
      <c r="J63" s="117">
        <v>0</v>
      </c>
      <c r="K63" s="117">
        <v>0</v>
      </c>
      <c r="L63" s="117">
        <v>0</v>
      </c>
      <c r="M63" s="117">
        <v>0</v>
      </c>
      <c r="N63" s="117">
        <v>0</v>
      </c>
      <c r="O63" s="117">
        <v>1610.29</v>
      </c>
      <c r="P63" s="109">
        <v>1442.95</v>
      </c>
      <c r="Q63" s="109">
        <v>1351.65</v>
      </c>
      <c r="R63" s="109">
        <v>8632.48</v>
      </c>
    </row>
    <row r="64" spans="1:18" x14ac:dyDescent="0.3">
      <c r="A64" s="116" t="s">
        <v>371</v>
      </c>
      <c r="B64" s="116" t="s">
        <v>322</v>
      </c>
      <c r="C64" s="116" t="s">
        <v>350</v>
      </c>
      <c r="D64" s="116" t="s">
        <v>367</v>
      </c>
      <c r="E64" s="116" t="s">
        <v>372</v>
      </c>
      <c r="F64" s="116">
        <v>40</v>
      </c>
      <c r="G64" s="117">
        <v>11909.48</v>
      </c>
      <c r="H64" s="116">
        <v>0</v>
      </c>
      <c r="I64" s="116" t="s">
        <v>322</v>
      </c>
      <c r="J64" s="117">
        <v>0</v>
      </c>
      <c r="K64" s="117">
        <v>0</v>
      </c>
      <c r="L64" s="117">
        <v>0</v>
      </c>
      <c r="M64" s="117">
        <v>0</v>
      </c>
      <c r="N64" s="117">
        <v>0</v>
      </c>
      <c r="O64" s="117">
        <v>2927.8</v>
      </c>
      <c r="P64" s="109">
        <v>2017.27</v>
      </c>
      <c r="Q64" s="109">
        <v>1355.92</v>
      </c>
      <c r="R64" s="109">
        <v>11464.09</v>
      </c>
    </row>
    <row r="65" spans="1:18" x14ac:dyDescent="0.3">
      <c r="A65" s="116" t="s">
        <v>371</v>
      </c>
      <c r="B65" s="116" t="s">
        <v>322</v>
      </c>
      <c r="C65" s="116" t="s">
        <v>382</v>
      </c>
      <c r="D65" s="116" t="s">
        <v>367</v>
      </c>
      <c r="E65" s="116" t="s">
        <v>381</v>
      </c>
      <c r="F65" s="116">
        <v>40</v>
      </c>
      <c r="G65" s="117">
        <v>8392.02</v>
      </c>
      <c r="H65" s="116">
        <v>0</v>
      </c>
      <c r="I65" s="116" t="s">
        <v>322</v>
      </c>
      <c r="J65" s="117">
        <v>0</v>
      </c>
      <c r="K65" s="117">
        <v>0</v>
      </c>
      <c r="L65" s="117">
        <v>0</v>
      </c>
      <c r="M65" s="117">
        <v>0</v>
      </c>
      <c r="N65" s="117">
        <v>0</v>
      </c>
      <c r="O65" s="117">
        <v>4138.62</v>
      </c>
      <c r="P65" s="109">
        <v>1390.52</v>
      </c>
      <c r="Q65" s="109">
        <v>1181.99</v>
      </c>
      <c r="R65" s="109">
        <v>9958.1299999999992</v>
      </c>
    </row>
    <row r="66" spans="1:18" x14ac:dyDescent="0.3">
      <c r="A66" s="116" t="s">
        <v>371</v>
      </c>
      <c r="B66" s="116" t="s">
        <v>322</v>
      </c>
      <c r="C66" s="116"/>
      <c r="D66" s="116" t="s">
        <v>367</v>
      </c>
      <c r="E66" s="116" t="s">
        <v>379</v>
      </c>
      <c r="F66" s="116">
        <v>40</v>
      </c>
      <c r="G66" s="117">
        <v>8031.37</v>
      </c>
      <c r="H66" s="116">
        <v>0</v>
      </c>
      <c r="I66" s="116" t="s">
        <v>322</v>
      </c>
      <c r="J66" s="117">
        <v>0</v>
      </c>
      <c r="K66" s="117">
        <v>0</v>
      </c>
      <c r="L66" s="117">
        <v>0</v>
      </c>
      <c r="M66" s="117">
        <v>0</v>
      </c>
      <c r="N66" s="117">
        <v>0</v>
      </c>
      <c r="O66" s="117">
        <v>2781.41</v>
      </c>
      <c r="P66" s="109">
        <v>1030.52</v>
      </c>
      <c r="Q66" s="109">
        <v>1065.98</v>
      </c>
      <c r="R66" s="109">
        <v>8716.2800000000007</v>
      </c>
    </row>
    <row r="67" spans="1:18" x14ac:dyDescent="0.3">
      <c r="A67" s="116" t="s">
        <v>371</v>
      </c>
      <c r="B67" s="116" t="s">
        <v>322</v>
      </c>
      <c r="C67" s="116"/>
      <c r="D67" s="116" t="s">
        <v>367</v>
      </c>
      <c r="E67" s="116" t="s">
        <v>383</v>
      </c>
      <c r="F67" s="116">
        <v>40</v>
      </c>
      <c r="G67" s="117">
        <v>7689.96</v>
      </c>
      <c r="H67" s="116">
        <v>0</v>
      </c>
      <c r="I67" s="116" t="s">
        <v>322</v>
      </c>
      <c r="J67" s="117">
        <v>0</v>
      </c>
      <c r="K67" s="117">
        <v>0</v>
      </c>
      <c r="L67" s="117">
        <v>0</v>
      </c>
      <c r="M67" s="117">
        <v>0</v>
      </c>
      <c r="N67" s="117">
        <v>0</v>
      </c>
      <c r="O67" s="117">
        <v>3366.96</v>
      </c>
      <c r="P67" s="109">
        <v>951.66</v>
      </c>
      <c r="Q67" s="109">
        <v>1011.35</v>
      </c>
      <c r="R67" s="109">
        <v>9093.91</v>
      </c>
    </row>
    <row r="68" spans="1:18" x14ac:dyDescent="0.3">
      <c r="A68" s="116" t="s">
        <v>371</v>
      </c>
      <c r="B68" s="116" t="s">
        <v>322</v>
      </c>
      <c r="C68" s="116"/>
      <c r="D68" s="116" t="s">
        <v>367</v>
      </c>
      <c r="E68" s="116" t="s">
        <v>380</v>
      </c>
      <c r="F68" s="116">
        <v>40</v>
      </c>
      <c r="G68" s="117">
        <v>8047.99</v>
      </c>
      <c r="H68" s="116">
        <v>0</v>
      </c>
      <c r="I68" s="116" t="s">
        <v>322</v>
      </c>
      <c r="J68" s="117">
        <v>0</v>
      </c>
      <c r="K68" s="117">
        <v>0</v>
      </c>
      <c r="L68" s="117">
        <v>0</v>
      </c>
      <c r="M68" s="117">
        <v>0</v>
      </c>
      <c r="N68" s="117">
        <v>0</v>
      </c>
      <c r="O68" s="117">
        <v>3074.19</v>
      </c>
      <c r="P68" s="109">
        <v>1034.3599999999999</v>
      </c>
      <c r="Q68" s="109">
        <v>1068.6400000000001</v>
      </c>
      <c r="R68" s="109">
        <v>9019.18</v>
      </c>
    </row>
    <row r="69" spans="1:18" x14ac:dyDescent="0.3">
      <c r="A69" s="116" t="s">
        <v>371</v>
      </c>
      <c r="B69" s="116" t="s">
        <v>322</v>
      </c>
      <c r="C69" s="116"/>
      <c r="D69" s="116" t="s">
        <v>367</v>
      </c>
      <c r="E69" s="116" t="s">
        <v>383</v>
      </c>
      <c r="F69" s="116">
        <v>40</v>
      </c>
      <c r="G69" s="117">
        <v>10217.76</v>
      </c>
      <c r="H69" s="116">
        <v>0</v>
      </c>
      <c r="I69" s="116" t="s">
        <v>322</v>
      </c>
      <c r="J69" s="117">
        <v>0</v>
      </c>
      <c r="K69" s="117">
        <v>0</v>
      </c>
      <c r="L69" s="117">
        <v>0</v>
      </c>
      <c r="M69" s="117">
        <v>0</v>
      </c>
      <c r="N69" s="117">
        <v>0</v>
      </c>
      <c r="O69" s="117">
        <v>2781.41</v>
      </c>
      <c r="P69" s="109">
        <v>1535.58</v>
      </c>
      <c r="Q69" s="109">
        <v>1415.8</v>
      </c>
      <c r="R69" s="109">
        <v>10047.790000000001</v>
      </c>
    </row>
    <row r="70" spans="1:18" x14ac:dyDescent="0.3">
      <c r="A70" s="116" t="s">
        <v>371</v>
      </c>
      <c r="B70" s="116" t="s">
        <v>322</v>
      </c>
      <c r="C70" s="116" t="s">
        <v>350</v>
      </c>
      <c r="D70" s="116" t="s">
        <v>367</v>
      </c>
      <c r="E70" s="116" t="s">
        <v>383</v>
      </c>
      <c r="F70" s="116">
        <v>40</v>
      </c>
      <c r="G70" s="117">
        <v>17698.259999999998</v>
      </c>
      <c r="H70" s="116">
        <v>0</v>
      </c>
      <c r="I70" s="116" t="s">
        <v>322</v>
      </c>
      <c r="J70" s="117">
        <v>0</v>
      </c>
      <c r="K70" s="117">
        <v>0</v>
      </c>
      <c r="L70" s="117">
        <v>0</v>
      </c>
      <c r="M70" s="117">
        <v>0</v>
      </c>
      <c r="N70" s="117">
        <v>0</v>
      </c>
      <c r="O70" s="117">
        <v>3074.19</v>
      </c>
      <c r="P70" s="109">
        <v>3536.68</v>
      </c>
      <c r="Q70" s="109">
        <v>1619.59</v>
      </c>
      <c r="R70" s="109">
        <v>15616.18</v>
      </c>
    </row>
    <row r="71" spans="1:18" x14ac:dyDescent="0.3">
      <c r="A71" s="116" t="s">
        <v>371</v>
      </c>
      <c r="B71" s="116" t="s">
        <v>322</v>
      </c>
      <c r="C71" s="116"/>
      <c r="D71" s="116" t="s">
        <v>367</v>
      </c>
      <c r="E71" s="116" t="s">
        <v>386</v>
      </c>
      <c r="F71" s="116">
        <v>40</v>
      </c>
      <c r="G71" s="117">
        <v>7696.16</v>
      </c>
      <c r="H71" s="116">
        <v>0</v>
      </c>
      <c r="I71" s="116" t="s">
        <v>322</v>
      </c>
      <c r="J71" s="117">
        <v>0</v>
      </c>
      <c r="K71" s="117">
        <v>0</v>
      </c>
      <c r="L71" s="117">
        <v>0</v>
      </c>
      <c r="M71" s="117">
        <v>0</v>
      </c>
      <c r="N71" s="117">
        <v>0</v>
      </c>
      <c r="O71" s="117">
        <v>3074.19</v>
      </c>
      <c r="P71" s="109">
        <v>953.09</v>
      </c>
      <c r="Q71" s="109">
        <v>1012.35</v>
      </c>
      <c r="R71" s="109">
        <v>8804.91</v>
      </c>
    </row>
    <row r="72" spans="1:18" x14ac:dyDescent="0.3">
      <c r="A72" s="116" t="s">
        <v>371</v>
      </c>
      <c r="B72" s="116" t="s">
        <v>322</v>
      </c>
      <c r="C72" s="116"/>
      <c r="D72" s="116" t="s">
        <v>367</v>
      </c>
      <c r="E72" s="116" t="s">
        <v>372</v>
      </c>
      <c r="F72" s="116">
        <v>40</v>
      </c>
      <c r="G72" s="117">
        <v>8052.13</v>
      </c>
      <c r="H72" s="116">
        <v>0</v>
      </c>
      <c r="I72" s="116" t="s">
        <v>322</v>
      </c>
      <c r="J72" s="117">
        <v>0</v>
      </c>
      <c r="K72" s="117">
        <v>0</v>
      </c>
      <c r="L72" s="117">
        <v>0</v>
      </c>
      <c r="M72" s="117">
        <v>0</v>
      </c>
      <c r="N72" s="117">
        <v>0</v>
      </c>
      <c r="O72" s="117">
        <v>2927.8</v>
      </c>
      <c r="P72" s="109">
        <v>1035.32</v>
      </c>
      <c r="Q72" s="109">
        <v>1069.3</v>
      </c>
      <c r="R72" s="109">
        <v>8875.31</v>
      </c>
    </row>
    <row r="73" spans="1:18" x14ac:dyDescent="0.3">
      <c r="A73" s="116" t="s">
        <v>371</v>
      </c>
      <c r="B73" s="116" t="s">
        <v>322</v>
      </c>
      <c r="C73" s="116"/>
      <c r="D73" s="116" t="s">
        <v>367</v>
      </c>
      <c r="E73" s="116" t="s">
        <v>373</v>
      </c>
      <c r="F73" s="116">
        <v>40</v>
      </c>
      <c r="G73" s="117">
        <v>6269.6</v>
      </c>
      <c r="H73" s="116">
        <v>0</v>
      </c>
      <c r="I73" s="116" t="s">
        <v>322</v>
      </c>
      <c r="J73" s="117">
        <v>0</v>
      </c>
      <c r="K73" s="117">
        <v>0</v>
      </c>
      <c r="L73" s="117">
        <v>0</v>
      </c>
      <c r="M73" s="117">
        <v>0</v>
      </c>
      <c r="N73" s="117">
        <v>0</v>
      </c>
      <c r="O73" s="117">
        <v>0</v>
      </c>
      <c r="P73" s="109">
        <v>693.98</v>
      </c>
      <c r="Q73" s="109">
        <v>417.21</v>
      </c>
      <c r="R73" s="109">
        <v>5158.41</v>
      </c>
    </row>
    <row r="74" spans="1:18" x14ac:dyDescent="0.3">
      <c r="A74" s="116" t="s">
        <v>371</v>
      </c>
      <c r="B74" s="116" t="s">
        <v>322</v>
      </c>
      <c r="C74" s="116"/>
      <c r="D74" s="116" t="s">
        <v>367</v>
      </c>
      <c r="E74" s="116" t="s">
        <v>389</v>
      </c>
      <c r="F74" s="116">
        <v>40</v>
      </c>
      <c r="G74" s="117">
        <v>19714.330000000002</v>
      </c>
      <c r="H74" s="116">
        <v>0</v>
      </c>
      <c r="I74" s="116" t="s">
        <v>322</v>
      </c>
      <c r="J74" s="117">
        <v>0</v>
      </c>
      <c r="K74" s="117">
        <v>0</v>
      </c>
      <c r="L74" s="117">
        <v>0</v>
      </c>
      <c r="M74" s="117">
        <v>0</v>
      </c>
      <c r="N74" s="117">
        <v>0</v>
      </c>
      <c r="O74" s="117">
        <v>0</v>
      </c>
      <c r="P74" s="109">
        <v>3710.63</v>
      </c>
      <c r="Q74" s="109">
        <v>2935.25</v>
      </c>
      <c r="R74" s="109">
        <v>13068.45</v>
      </c>
    </row>
    <row r="75" spans="1:18" x14ac:dyDescent="0.3">
      <c r="A75" s="116" t="s">
        <v>371</v>
      </c>
      <c r="B75" s="116" t="s">
        <v>390</v>
      </c>
      <c r="C75" s="116"/>
      <c r="D75" s="116" t="s">
        <v>367</v>
      </c>
      <c r="E75" s="116" t="s">
        <v>377</v>
      </c>
      <c r="F75" s="116">
        <v>40</v>
      </c>
      <c r="G75" s="117">
        <v>19803.63</v>
      </c>
      <c r="H75" s="116">
        <v>0</v>
      </c>
      <c r="I75" s="116" t="s">
        <v>322</v>
      </c>
      <c r="J75" s="117">
        <v>0</v>
      </c>
      <c r="K75" s="117">
        <v>0</v>
      </c>
      <c r="L75" s="117">
        <v>0</v>
      </c>
      <c r="M75" s="117">
        <v>0</v>
      </c>
      <c r="N75" s="117">
        <v>0</v>
      </c>
      <c r="O75" s="117">
        <v>6023.73</v>
      </c>
      <c r="P75" s="109">
        <v>4561.04</v>
      </c>
      <c r="Q75" s="109">
        <v>2949.54</v>
      </c>
      <c r="R75" s="109">
        <v>18316.78</v>
      </c>
    </row>
    <row r="76" spans="1:18" x14ac:dyDescent="0.3">
      <c r="A76" s="116" t="s">
        <v>371</v>
      </c>
      <c r="B76" s="116" t="s">
        <v>322</v>
      </c>
      <c r="C76" s="116"/>
      <c r="D76" s="116" t="s">
        <v>367</v>
      </c>
      <c r="E76" s="116" t="s">
        <v>368</v>
      </c>
      <c r="F76" s="116">
        <v>40</v>
      </c>
      <c r="G76" s="117">
        <v>4717.25</v>
      </c>
      <c r="H76" s="116">
        <v>0</v>
      </c>
      <c r="I76" s="116" t="s">
        <v>322</v>
      </c>
      <c r="J76" s="117">
        <v>0</v>
      </c>
      <c r="K76" s="117">
        <v>0</v>
      </c>
      <c r="L76" s="117">
        <v>0</v>
      </c>
      <c r="M76" s="117">
        <v>0</v>
      </c>
      <c r="N76" s="117">
        <v>0</v>
      </c>
      <c r="O76" s="117">
        <v>3115.8</v>
      </c>
      <c r="P76" s="109">
        <v>290.85000000000002</v>
      </c>
      <c r="Q76" s="109">
        <v>486.35</v>
      </c>
      <c r="R76" s="109">
        <v>7055.85</v>
      </c>
    </row>
    <row r="77" spans="1:18" x14ac:dyDescent="0.3">
      <c r="A77" s="116" t="s">
        <v>371</v>
      </c>
      <c r="B77" s="116" t="s">
        <v>322</v>
      </c>
      <c r="C77" s="116"/>
      <c r="D77" s="116" t="s">
        <v>367</v>
      </c>
      <c r="E77" s="116" t="s">
        <v>385</v>
      </c>
      <c r="F77" s="116">
        <v>40</v>
      </c>
      <c r="G77" s="117">
        <v>7696.16</v>
      </c>
      <c r="H77" s="116">
        <v>0</v>
      </c>
      <c r="I77" s="116" t="s">
        <v>322</v>
      </c>
      <c r="J77" s="117">
        <v>0</v>
      </c>
      <c r="K77" s="117">
        <v>0</v>
      </c>
      <c r="L77" s="117">
        <v>0</v>
      </c>
      <c r="M77" s="117">
        <v>0</v>
      </c>
      <c r="N77" s="117">
        <v>0</v>
      </c>
      <c r="O77" s="117">
        <v>3074.19</v>
      </c>
      <c r="P77" s="109">
        <v>953.09</v>
      </c>
      <c r="Q77" s="109">
        <v>1012.35</v>
      </c>
      <c r="R77" s="109">
        <v>8804.91</v>
      </c>
    </row>
    <row r="78" spans="1:18" x14ac:dyDescent="0.3">
      <c r="A78" s="116" t="s">
        <v>371</v>
      </c>
      <c r="B78" s="116" t="s">
        <v>322</v>
      </c>
      <c r="C78" s="116"/>
      <c r="D78" s="116" t="s">
        <v>367</v>
      </c>
      <c r="E78" s="116" t="s">
        <v>384</v>
      </c>
      <c r="F78" s="116">
        <v>40</v>
      </c>
      <c r="G78" s="117">
        <v>8018.93</v>
      </c>
      <c r="H78" s="116">
        <v>0</v>
      </c>
      <c r="I78" s="116" t="s">
        <v>322</v>
      </c>
      <c r="J78" s="117">
        <v>0</v>
      </c>
      <c r="K78" s="117">
        <v>0</v>
      </c>
      <c r="L78" s="117">
        <v>0</v>
      </c>
      <c r="M78" s="117">
        <v>0</v>
      </c>
      <c r="N78" s="117">
        <v>0</v>
      </c>
      <c r="O78" s="117">
        <v>318.26</v>
      </c>
      <c r="P78" s="109">
        <v>954.14</v>
      </c>
      <c r="Q78" s="109">
        <v>1063.99</v>
      </c>
      <c r="R78" s="109">
        <v>6319.06</v>
      </c>
    </row>
    <row r="79" spans="1:18" x14ac:dyDescent="0.3">
      <c r="A79" s="116" t="s">
        <v>371</v>
      </c>
      <c r="B79" s="116" t="s">
        <v>322</v>
      </c>
      <c r="C79" s="116" t="s">
        <v>382</v>
      </c>
      <c r="D79" s="116" t="s">
        <v>367</v>
      </c>
      <c r="E79" s="116" t="s">
        <v>381</v>
      </c>
      <c r="F79" s="116">
        <v>40</v>
      </c>
      <c r="G79" s="117">
        <v>24665.77</v>
      </c>
      <c r="H79" s="116">
        <v>0</v>
      </c>
      <c r="I79" s="116" t="s">
        <v>322</v>
      </c>
      <c r="J79" s="117">
        <v>0</v>
      </c>
      <c r="K79" s="117">
        <v>0</v>
      </c>
      <c r="L79" s="117">
        <v>0</v>
      </c>
      <c r="M79" s="117">
        <v>0</v>
      </c>
      <c r="N79" s="117">
        <v>0</v>
      </c>
      <c r="O79" s="117">
        <v>12266.38</v>
      </c>
      <c r="P79" s="109">
        <v>7173.36</v>
      </c>
      <c r="Q79" s="109">
        <v>4365.37</v>
      </c>
      <c r="R79" s="109">
        <v>25393.42</v>
      </c>
    </row>
    <row r="80" spans="1:18" x14ac:dyDescent="0.3">
      <c r="A80" s="116" t="s">
        <v>371</v>
      </c>
      <c r="B80" s="116" t="s">
        <v>322</v>
      </c>
      <c r="C80" s="116"/>
      <c r="D80" s="116" t="s">
        <v>367</v>
      </c>
      <c r="E80" s="116" t="s">
        <v>372</v>
      </c>
      <c r="F80" s="116">
        <v>40</v>
      </c>
      <c r="G80" s="117">
        <v>7013.44</v>
      </c>
      <c r="H80" s="116">
        <v>0</v>
      </c>
      <c r="I80" s="116" t="s">
        <v>322</v>
      </c>
      <c r="J80" s="117">
        <v>0</v>
      </c>
      <c r="K80" s="117">
        <v>0</v>
      </c>
      <c r="L80" s="117">
        <v>0</v>
      </c>
      <c r="M80" s="117">
        <v>0</v>
      </c>
      <c r="N80" s="117">
        <v>0</v>
      </c>
      <c r="O80" s="117">
        <v>2195.85</v>
      </c>
      <c r="P80" s="109">
        <v>794.7</v>
      </c>
      <c r="Q80" s="109">
        <v>905.58</v>
      </c>
      <c r="R80" s="109">
        <v>7509.01</v>
      </c>
    </row>
    <row r="81" spans="1:18" x14ac:dyDescent="0.3">
      <c r="A81" s="116" t="s">
        <v>371</v>
      </c>
      <c r="B81" s="116" t="s">
        <v>322</v>
      </c>
      <c r="C81" s="116" t="s">
        <v>375</v>
      </c>
      <c r="D81" s="116" t="s">
        <v>367</v>
      </c>
      <c r="E81" s="116" t="s">
        <v>391</v>
      </c>
      <c r="F81" s="116">
        <v>40</v>
      </c>
      <c r="G81" s="117">
        <v>14637.58</v>
      </c>
      <c r="H81" s="116">
        <v>0</v>
      </c>
      <c r="I81" s="116" t="s">
        <v>322</v>
      </c>
      <c r="J81" s="117">
        <v>0</v>
      </c>
      <c r="K81" s="117">
        <v>0</v>
      </c>
      <c r="L81" s="117">
        <v>0</v>
      </c>
      <c r="M81" s="117">
        <v>0</v>
      </c>
      <c r="N81" s="117">
        <v>0</v>
      </c>
      <c r="O81" s="117">
        <v>3074.19</v>
      </c>
      <c r="P81" s="109">
        <v>2929.59</v>
      </c>
      <c r="Q81" s="109">
        <v>766.49</v>
      </c>
      <c r="R81" s="109">
        <v>14015.69</v>
      </c>
    </row>
    <row r="82" spans="1:18" x14ac:dyDescent="0.3">
      <c r="A82" s="116" t="s">
        <v>371</v>
      </c>
      <c r="B82" s="116" t="s">
        <v>322</v>
      </c>
      <c r="C82" s="116" t="s">
        <v>327</v>
      </c>
      <c r="D82" s="116" t="s">
        <v>367</v>
      </c>
      <c r="E82" s="116" t="s">
        <v>325</v>
      </c>
      <c r="F82" s="116">
        <v>40</v>
      </c>
      <c r="G82" s="117">
        <v>13259.82</v>
      </c>
      <c r="H82" s="116">
        <v>0</v>
      </c>
      <c r="I82" s="116" t="s">
        <v>322</v>
      </c>
      <c r="J82" s="117">
        <v>0</v>
      </c>
      <c r="K82" s="117">
        <v>0</v>
      </c>
      <c r="L82" s="117">
        <v>0</v>
      </c>
      <c r="M82" s="117">
        <v>0</v>
      </c>
      <c r="N82" s="117">
        <v>0</v>
      </c>
      <c r="O82" s="117">
        <v>1903.07</v>
      </c>
      <c r="P82" s="109">
        <v>2336.6999999999998</v>
      </c>
      <c r="Q82" s="109">
        <v>1355.12</v>
      </c>
      <c r="R82" s="109">
        <v>11471.07</v>
      </c>
    </row>
    <row r="83" spans="1:18" x14ac:dyDescent="0.3">
      <c r="A83" s="116" t="s">
        <v>371</v>
      </c>
      <c r="B83" s="116" t="s">
        <v>322</v>
      </c>
      <c r="C83" s="116"/>
      <c r="D83" s="116" t="s">
        <v>367</v>
      </c>
      <c r="E83" s="116" t="s">
        <v>383</v>
      </c>
      <c r="F83" s="116">
        <v>40</v>
      </c>
      <c r="G83" s="117">
        <v>4717.25</v>
      </c>
      <c r="H83" s="116">
        <v>0</v>
      </c>
      <c r="I83" s="116" t="s">
        <v>322</v>
      </c>
      <c r="J83" s="117">
        <v>0</v>
      </c>
      <c r="K83" s="117">
        <v>0</v>
      </c>
      <c r="L83" s="117">
        <v>0</v>
      </c>
      <c r="M83" s="117">
        <v>0</v>
      </c>
      <c r="N83" s="117">
        <v>0</v>
      </c>
      <c r="O83" s="117">
        <v>2231.02</v>
      </c>
      <c r="P83" s="109">
        <v>290.85000000000002</v>
      </c>
      <c r="Q83" s="109">
        <v>486.35</v>
      </c>
      <c r="R83" s="109">
        <v>6171.07</v>
      </c>
    </row>
    <row r="84" spans="1:18" x14ac:dyDescent="0.3">
      <c r="A84" s="116" t="s">
        <v>371</v>
      </c>
      <c r="B84" s="116" t="s">
        <v>322</v>
      </c>
      <c r="C84" s="116" t="s">
        <v>392</v>
      </c>
      <c r="D84" s="116" t="s">
        <v>367</v>
      </c>
      <c r="E84" s="116" t="s">
        <v>378</v>
      </c>
      <c r="F84" s="116">
        <v>40</v>
      </c>
      <c r="G84" s="117">
        <v>15121.86</v>
      </c>
      <c r="H84" s="116">
        <v>0</v>
      </c>
      <c r="I84" s="116" t="s">
        <v>322</v>
      </c>
      <c r="J84" s="117">
        <v>0</v>
      </c>
      <c r="K84" s="117">
        <v>0</v>
      </c>
      <c r="L84" s="117">
        <v>0</v>
      </c>
      <c r="M84" s="117">
        <v>0</v>
      </c>
      <c r="N84" s="117">
        <v>0</v>
      </c>
      <c r="O84" s="117">
        <v>2927.8</v>
      </c>
      <c r="P84" s="109">
        <v>2886.34</v>
      </c>
      <c r="Q84" s="109">
        <v>1408.03</v>
      </c>
      <c r="R84" s="109">
        <v>13755.29</v>
      </c>
    </row>
    <row r="85" spans="1:18" x14ac:dyDescent="0.3">
      <c r="A85" s="116" t="s">
        <v>371</v>
      </c>
      <c r="B85" s="116" t="s">
        <v>322</v>
      </c>
      <c r="C85" s="116" t="s">
        <v>350</v>
      </c>
      <c r="D85" s="116" t="s">
        <v>367</v>
      </c>
      <c r="E85" s="116" t="s">
        <v>373</v>
      </c>
      <c r="F85" s="116">
        <v>40</v>
      </c>
      <c r="G85" s="117">
        <v>10361.15</v>
      </c>
      <c r="H85" s="116">
        <v>0</v>
      </c>
      <c r="I85" s="116" t="s">
        <v>322</v>
      </c>
      <c r="J85" s="117">
        <v>0</v>
      </c>
      <c r="K85" s="117">
        <v>0</v>
      </c>
      <c r="L85" s="117">
        <v>0</v>
      </c>
      <c r="M85" s="117">
        <v>0</v>
      </c>
      <c r="N85" s="117">
        <v>0</v>
      </c>
      <c r="O85" s="117">
        <v>2781.41</v>
      </c>
      <c r="P85" s="109">
        <v>1670.61</v>
      </c>
      <c r="Q85" s="109">
        <v>1068.19</v>
      </c>
      <c r="R85" s="109">
        <v>10403.76</v>
      </c>
    </row>
    <row r="86" spans="1:18" x14ac:dyDescent="0.3">
      <c r="A86" s="116" t="s">
        <v>371</v>
      </c>
      <c r="B86" s="116" t="s">
        <v>322</v>
      </c>
      <c r="C86" s="116"/>
      <c r="D86" s="116" t="s">
        <v>367</v>
      </c>
      <c r="E86" s="116" t="s">
        <v>380</v>
      </c>
      <c r="F86" s="116">
        <v>40</v>
      </c>
      <c r="G86" s="117">
        <v>7689.11</v>
      </c>
      <c r="H86" s="116">
        <v>0</v>
      </c>
      <c r="I86" s="116" t="s">
        <v>322</v>
      </c>
      <c r="J86" s="117">
        <v>0</v>
      </c>
      <c r="K86" s="117">
        <v>0</v>
      </c>
      <c r="L86" s="117">
        <v>0</v>
      </c>
      <c r="M86" s="117">
        <v>0</v>
      </c>
      <c r="N86" s="117">
        <v>0</v>
      </c>
      <c r="O86" s="117">
        <v>3074.19</v>
      </c>
      <c r="P86" s="109">
        <v>951.46</v>
      </c>
      <c r="Q86" s="109">
        <v>1011.22</v>
      </c>
      <c r="R86" s="109">
        <v>8800.6200000000008</v>
      </c>
    </row>
    <row r="87" spans="1:18" x14ac:dyDescent="0.3">
      <c r="A87" s="116" t="s">
        <v>371</v>
      </c>
      <c r="B87" s="116" t="s">
        <v>322</v>
      </c>
      <c r="C87" s="116"/>
      <c r="D87" s="116" t="s">
        <v>367</v>
      </c>
      <c r="E87" s="116" t="s">
        <v>383</v>
      </c>
      <c r="F87" s="116">
        <v>40</v>
      </c>
      <c r="G87" s="117">
        <v>7646.34</v>
      </c>
      <c r="H87" s="116">
        <v>0</v>
      </c>
      <c r="I87" s="116" t="s">
        <v>322</v>
      </c>
      <c r="J87" s="117">
        <v>0</v>
      </c>
      <c r="K87" s="117">
        <v>0</v>
      </c>
      <c r="L87" s="117">
        <v>0</v>
      </c>
      <c r="M87" s="117">
        <v>0</v>
      </c>
      <c r="N87" s="117">
        <v>0</v>
      </c>
      <c r="O87" s="117">
        <v>3074.19</v>
      </c>
      <c r="P87" s="109">
        <v>941.58</v>
      </c>
      <c r="Q87" s="109">
        <v>1004.37</v>
      </c>
      <c r="R87" s="109">
        <v>8774.58</v>
      </c>
    </row>
    <row r="88" spans="1:18" x14ac:dyDescent="0.3">
      <c r="A88" s="116" t="s">
        <v>371</v>
      </c>
      <c r="B88" s="116" t="s">
        <v>322</v>
      </c>
      <c r="C88" s="116"/>
      <c r="D88" s="116" t="s">
        <v>367</v>
      </c>
      <c r="E88" s="116" t="s">
        <v>379</v>
      </c>
      <c r="F88" s="116">
        <v>40</v>
      </c>
      <c r="G88" s="117">
        <v>9202.9699999999993</v>
      </c>
      <c r="H88" s="116">
        <v>0</v>
      </c>
      <c r="I88" s="116" t="s">
        <v>322</v>
      </c>
      <c r="J88" s="117">
        <v>0</v>
      </c>
      <c r="K88" s="117">
        <v>0</v>
      </c>
      <c r="L88" s="117">
        <v>0</v>
      </c>
      <c r="M88" s="117">
        <v>0</v>
      </c>
      <c r="N88" s="117">
        <v>0</v>
      </c>
      <c r="O88" s="117">
        <v>0</v>
      </c>
      <c r="P88" s="109">
        <v>1301.1600000000001</v>
      </c>
      <c r="Q88" s="109">
        <v>1253.44</v>
      </c>
      <c r="R88" s="109">
        <v>6648.37</v>
      </c>
    </row>
    <row r="89" spans="1:18" x14ac:dyDescent="0.3">
      <c r="A89" s="116" t="s">
        <v>371</v>
      </c>
      <c r="B89" s="116" t="s">
        <v>322</v>
      </c>
      <c r="C89" s="116" t="s">
        <v>382</v>
      </c>
      <c r="D89" s="116" t="s">
        <v>367</v>
      </c>
      <c r="E89" s="116" t="s">
        <v>381</v>
      </c>
      <c r="F89" s="116">
        <v>40</v>
      </c>
      <c r="G89" s="117">
        <v>19971.59</v>
      </c>
      <c r="H89" s="116">
        <v>0</v>
      </c>
      <c r="I89" s="116" t="s">
        <v>322</v>
      </c>
      <c r="J89" s="117">
        <v>0</v>
      </c>
      <c r="K89" s="117">
        <v>0</v>
      </c>
      <c r="L89" s="117">
        <v>0</v>
      </c>
      <c r="M89" s="117">
        <v>0</v>
      </c>
      <c r="N89" s="117">
        <v>0</v>
      </c>
      <c r="O89" s="117">
        <v>5960.05</v>
      </c>
      <c r="P89" s="109">
        <v>4639.99</v>
      </c>
      <c r="Q89" s="109">
        <v>3455.49</v>
      </c>
      <c r="R89" s="109">
        <v>17836.16</v>
      </c>
    </row>
    <row r="90" spans="1:18" x14ac:dyDescent="0.3">
      <c r="A90" s="116" t="s">
        <v>371</v>
      </c>
      <c r="B90" s="116" t="s">
        <v>322</v>
      </c>
      <c r="C90" s="116"/>
      <c r="D90" s="116" t="s">
        <v>367</v>
      </c>
      <c r="E90" s="116" t="s">
        <v>325</v>
      </c>
      <c r="F90" s="116">
        <v>40</v>
      </c>
      <c r="G90" s="117">
        <v>21755.57</v>
      </c>
      <c r="H90" s="116">
        <v>0</v>
      </c>
      <c r="I90" s="116" t="s">
        <v>322</v>
      </c>
      <c r="J90" s="117">
        <v>0</v>
      </c>
      <c r="K90" s="117">
        <v>0</v>
      </c>
      <c r="L90" s="117">
        <v>0</v>
      </c>
      <c r="M90" s="117">
        <v>0</v>
      </c>
      <c r="N90" s="117">
        <v>0</v>
      </c>
      <c r="O90" s="117">
        <v>6336.04</v>
      </c>
      <c r="P90" s="109">
        <v>5097.82</v>
      </c>
      <c r="Q90" s="109">
        <v>3261.85</v>
      </c>
      <c r="R90" s="109">
        <v>19731.939999999999</v>
      </c>
    </row>
    <row r="91" spans="1:18" x14ac:dyDescent="0.3">
      <c r="A91" s="116" t="s">
        <v>371</v>
      </c>
      <c r="B91" s="116" t="s">
        <v>322</v>
      </c>
      <c r="C91" s="116"/>
      <c r="D91" s="116" t="s">
        <v>367</v>
      </c>
      <c r="E91" s="116" t="s">
        <v>386</v>
      </c>
      <c r="F91" s="116">
        <v>40</v>
      </c>
      <c r="G91" s="117">
        <v>10807.43</v>
      </c>
      <c r="H91" s="116">
        <v>0</v>
      </c>
      <c r="I91" s="116" t="s">
        <v>322</v>
      </c>
      <c r="J91" s="117">
        <v>0</v>
      </c>
      <c r="K91" s="117">
        <v>0</v>
      </c>
      <c r="L91" s="117">
        <v>0</v>
      </c>
      <c r="M91" s="117">
        <v>0</v>
      </c>
      <c r="N91" s="117">
        <v>0</v>
      </c>
      <c r="O91" s="117">
        <v>2195.85</v>
      </c>
      <c r="P91" s="109">
        <v>1663.91</v>
      </c>
      <c r="Q91" s="109">
        <v>1510.15</v>
      </c>
      <c r="R91" s="109">
        <v>9829.2199999999993</v>
      </c>
    </row>
    <row r="92" spans="1:18" x14ac:dyDescent="0.3">
      <c r="A92" s="116" t="s">
        <v>371</v>
      </c>
      <c r="B92" s="116" t="s">
        <v>322</v>
      </c>
      <c r="C92" s="116"/>
      <c r="D92" s="116" t="s">
        <v>367</v>
      </c>
      <c r="E92" s="116" t="s">
        <v>380</v>
      </c>
      <c r="F92" s="116">
        <v>40</v>
      </c>
      <c r="G92" s="117">
        <v>10236.450000000001</v>
      </c>
      <c r="H92" s="116">
        <v>0</v>
      </c>
      <c r="I92" s="116" t="s">
        <v>322</v>
      </c>
      <c r="J92" s="117">
        <v>0</v>
      </c>
      <c r="K92" s="117">
        <v>0</v>
      </c>
      <c r="L92" s="117">
        <v>0</v>
      </c>
      <c r="M92" s="117">
        <v>0</v>
      </c>
      <c r="N92" s="117">
        <v>0</v>
      </c>
      <c r="O92" s="117">
        <v>3074.19</v>
      </c>
      <c r="P92" s="109">
        <v>1539.9</v>
      </c>
      <c r="Q92" s="109">
        <v>1418.79</v>
      </c>
      <c r="R92" s="109">
        <v>10351.950000000001</v>
      </c>
    </row>
    <row r="93" spans="1:18" x14ac:dyDescent="0.3">
      <c r="A93" s="116" t="s">
        <v>371</v>
      </c>
      <c r="B93" s="116" t="s">
        <v>322</v>
      </c>
      <c r="C93" s="116"/>
      <c r="D93" s="116" t="s">
        <v>367</v>
      </c>
      <c r="E93" s="116" t="s">
        <v>380</v>
      </c>
      <c r="F93" s="116">
        <v>40</v>
      </c>
      <c r="G93" s="117">
        <v>10244.879999999999</v>
      </c>
      <c r="H93" s="116">
        <v>0</v>
      </c>
      <c r="I93" s="116" t="s">
        <v>322</v>
      </c>
      <c r="J93" s="117">
        <v>0</v>
      </c>
      <c r="K93" s="117">
        <v>0</v>
      </c>
      <c r="L93" s="117">
        <v>0</v>
      </c>
      <c r="M93" s="117">
        <v>0</v>
      </c>
      <c r="N93" s="117">
        <v>0</v>
      </c>
      <c r="O93" s="117">
        <v>3074.19</v>
      </c>
      <c r="P93" s="109">
        <v>1541.84</v>
      </c>
      <c r="Q93" s="109">
        <v>1420.14</v>
      </c>
      <c r="R93" s="109">
        <v>10357.09</v>
      </c>
    </row>
    <row r="94" spans="1:18" x14ac:dyDescent="0.3">
      <c r="A94" s="116" t="s">
        <v>371</v>
      </c>
      <c r="B94" s="116" t="s">
        <v>322</v>
      </c>
      <c r="C94" s="116"/>
      <c r="D94" s="116" t="s">
        <v>367</v>
      </c>
      <c r="E94" s="116" t="s">
        <v>376</v>
      </c>
      <c r="F94" s="116">
        <v>40</v>
      </c>
      <c r="G94" s="117">
        <v>7696.16</v>
      </c>
      <c r="H94" s="116">
        <v>0</v>
      </c>
      <c r="I94" s="116" t="s">
        <v>322</v>
      </c>
      <c r="J94" s="117">
        <v>0</v>
      </c>
      <c r="K94" s="117">
        <v>0</v>
      </c>
      <c r="L94" s="117">
        <v>0</v>
      </c>
      <c r="M94" s="117">
        <v>0</v>
      </c>
      <c r="N94" s="117">
        <v>0</v>
      </c>
      <c r="O94" s="117">
        <v>1463.9</v>
      </c>
      <c r="P94" s="109">
        <v>909.25</v>
      </c>
      <c r="Q94" s="109">
        <v>982.16</v>
      </c>
      <c r="R94" s="109">
        <v>7268.65</v>
      </c>
    </row>
    <row r="95" spans="1:18" x14ac:dyDescent="0.3">
      <c r="A95" s="116" t="s">
        <v>371</v>
      </c>
      <c r="B95" s="116" t="s">
        <v>322</v>
      </c>
      <c r="C95" s="116"/>
      <c r="D95" s="116" t="s">
        <v>367</v>
      </c>
      <c r="E95" s="116" t="s">
        <v>325</v>
      </c>
      <c r="F95" s="116">
        <v>40</v>
      </c>
      <c r="G95" s="117">
        <v>7002.25</v>
      </c>
      <c r="H95" s="116">
        <v>0</v>
      </c>
      <c r="I95" s="116" t="s">
        <v>322</v>
      </c>
      <c r="J95" s="117">
        <v>0</v>
      </c>
      <c r="K95" s="117">
        <v>0</v>
      </c>
      <c r="L95" s="117">
        <v>0</v>
      </c>
      <c r="M95" s="117">
        <v>0</v>
      </c>
      <c r="N95" s="117">
        <v>0</v>
      </c>
      <c r="O95" s="117">
        <v>3074.19</v>
      </c>
      <c r="P95" s="109">
        <v>792.1</v>
      </c>
      <c r="Q95" s="109">
        <v>903.85</v>
      </c>
      <c r="R95" s="109">
        <v>8380.49</v>
      </c>
    </row>
    <row r="96" spans="1:18" x14ac:dyDescent="0.3">
      <c r="A96" s="116" t="s">
        <v>371</v>
      </c>
      <c r="B96" s="116" t="s">
        <v>322</v>
      </c>
      <c r="C96" s="116" t="s">
        <v>382</v>
      </c>
      <c r="D96" s="116" t="s">
        <v>367</v>
      </c>
      <c r="E96" s="116" t="s">
        <v>381</v>
      </c>
      <c r="F96" s="116">
        <v>40</v>
      </c>
      <c r="G96" s="117">
        <v>11465.17</v>
      </c>
      <c r="H96" s="116">
        <v>0</v>
      </c>
      <c r="I96" s="116" t="s">
        <v>322</v>
      </c>
      <c r="J96" s="117">
        <v>0</v>
      </c>
      <c r="K96" s="117">
        <v>0</v>
      </c>
      <c r="L96" s="117">
        <v>0</v>
      </c>
      <c r="M96" s="117">
        <v>0</v>
      </c>
      <c r="N96" s="117">
        <v>0</v>
      </c>
      <c r="O96" s="117">
        <v>3136.96</v>
      </c>
      <c r="P96" s="109">
        <v>2207.19</v>
      </c>
      <c r="Q96" s="109">
        <v>1747.65</v>
      </c>
      <c r="R96" s="109">
        <v>10647.29</v>
      </c>
    </row>
    <row r="97" spans="1:18" x14ac:dyDescent="0.3">
      <c r="A97" s="116" t="s">
        <v>341</v>
      </c>
      <c r="B97" s="116" t="s">
        <v>322</v>
      </c>
      <c r="C97" s="116"/>
      <c r="D97" s="116" t="s">
        <v>367</v>
      </c>
      <c r="E97" s="116" t="s">
        <v>393</v>
      </c>
      <c r="F97" s="116">
        <v>40</v>
      </c>
      <c r="G97" s="117">
        <v>7798.03</v>
      </c>
      <c r="H97" s="116">
        <v>0</v>
      </c>
      <c r="I97" s="116" t="s">
        <v>322</v>
      </c>
      <c r="J97" s="117">
        <v>0</v>
      </c>
      <c r="K97" s="117">
        <v>0</v>
      </c>
      <c r="L97" s="117">
        <v>0</v>
      </c>
      <c r="M97" s="117">
        <v>0</v>
      </c>
      <c r="N97" s="117">
        <v>0</v>
      </c>
      <c r="O97" s="117">
        <v>2565.36</v>
      </c>
      <c r="P97" s="109">
        <v>989.4</v>
      </c>
      <c r="Q97" s="109">
        <v>982.16</v>
      </c>
      <c r="R97" s="109">
        <v>8391.83</v>
      </c>
    </row>
    <row r="98" spans="1:18" x14ac:dyDescent="0.3">
      <c r="A98" s="116" t="s">
        <v>341</v>
      </c>
      <c r="B98" s="116" t="s">
        <v>322</v>
      </c>
      <c r="C98" s="116" t="s">
        <v>369</v>
      </c>
      <c r="D98" s="116" t="s">
        <v>367</v>
      </c>
      <c r="E98" s="116" t="s">
        <v>393</v>
      </c>
      <c r="F98" s="116">
        <v>40</v>
      </c>
      <c r="G98" s="117">
        <v>13344.13</v>
      </c>
      <c r="H98" s="116">
        <v>0</v>
      </c>
      <c r="I98" s="116" t="s">
        <v>322</v>
      </c>
      <c r="J98" s="117">
        <v>0</v>
      </c>
      <c r="K98" s="117">
        <v>0</v>
      </c>
      <c r="L98" s="117">
        <v>0</v>
      </c>
      <c r="M98" s="117">
        <v>0</v>
      </c>
      <c r="N98" s="117">
        <v>0</v>
      </c>
      <c r="O98" s="117">
        <v>732.96</v>
      </c>
      <c r="P98" s="109">
        <v>2319.38</v>
      </c>
      <c r="Q98" s="109">
        <v>1692</v>
      </c>
      <c r="R98" s="109">
        <v>10065.709999999999</v>
      </c>
    </row>
    <row r="99" spans="1:18" x14ac:dyDescent="0.3">
      <c r="A99" s="116" t="s">
        <v>394</v>
      </c>
      <c r="B99" s="116" t="s">
        <v>322</v>
      </c>
      <c r="C99" s="116"/>
      <c r="D99" s="116" t="s">
        <v>367</v>
      </c>
      <c r="E99" s="116" t="s">
        <v>325</v>
      </c>
      <c r="F99" s="116">
        <v>40</v>
      </c>
      <c r="G99" s="117">
        <v>9820.18</v>
      </c>
      <c r="H99" s="116">
        <v>0</v>
      </c>
      <c r="I99" s="116" t="s">
        <v>322</v>
      </c>
      <c r="J99" s="117">
        <v>0</v>
      </c>
      <c r="K99" s="117">
        <v>0</v>
      </c>
      <c r="L99" s="117">
        <v>0</v>
      </c>
      <c r="M99" s="117">
        <v>0</v>
      </c>
      <c r="N99" s="117">
        <v>0</v>
      </c>
      <c r="O99" s="117">
        <v>3074.19</v>
      </c>
      <c r="P99" s="109">
        <v>1605.66</v>
      </c>
      <c r="Q99" s="109">
        <v>763.39</v>
      </c>
      <c r="R99" s="109">
        <v>10525.32</v>
      </c>
    </row>
    <row r="100" spans="1:18" x14ac:dyDescent="0.3">
      <c r="A100" s="116" t="s">
        <v>394</v>
      </c>
      <c r="B100" s="116" t="s">
        <v>322</v>
      </c>
      <c r="C100" s="116"/>
      <c r="D100" s="116" t="s">
        <v>367</v>
      </c>
      <c r="E100" s="116" t="s">
        <v>379</v>
      </c>
      <c r="F100" s="116">
        <v>40</v>
      </c>
      <c r="G100" s="117">
        <v>10221.620000000001</v>
      </c>
      <c r="H100" s="116">
        <v>0</v>
      </c>
      <c r="I100" s="116" t="s">
        <v>322</v>
      </c>
      <c r="J100" s="117">
        <v>0</v>
      </c>
      <c r="K100" s="117">
        <v>0</v>
      </c>
      <c r="L100" s="117">
        <v>0</v>
      </c>
      <c r="M100" s="117">
        <v>0</v>
      </c>
      <c r="N100" s="117">
        <v>0</v>
      </c>
      <c r="O100" s="117">
        <v>3074.19</v>
      </c>
      <c r="P100" s="109">
        <v>1501.77</v>
      </c>
      <c r="Q100" s="109">
        <v>1416.42</v>
      </c>
      <c r="R100" s="109">
        <v>10377.620000000001</v>
      </c>
    </row>
    <row r="101" spans="1:18" x14ac:dyDescent="0.3">
      <c r="A101" s="116" t="s">
        <v>394</v>
      </c>
      <c r="B101" s="116" t="s">
        <v>322</v>
      </c>
      <c r="C101" s="116"/>
      <c r="D101" s="116" t="s">
        <v>367</v>
      </c>
      <c r="E101" s="116" t="s">
        <v>380</v>
      </c>
      <c r="F101" s="116">
        <v>40</v>
      </c>
      <c r="G101" s="117">
        <v>7695</v>
      </c>
      <c r="H101" s="116">
        <v>0</v>
      </c>
      <c r="I101" s="116" t="s">
        <v>322</v>
      </c>
      <c r="J101" s="117">
        <v>0</v>
      </c>
      <c r="K101" s="117">
        <v>0</v>
      </c>
      <c r="L101" s="117">
        <v>0</v>
      </c>
      <c r="M101" s="117">
        <v>0</v>
      </c>
      <c r="N101" s="117">
        <v>0</v>
      </c>
      <c r="O101" s="117">
        <v>3074.19</v>
      </c>
      <c r="P101" s="109">
        <v>952.82</v>
      </c>
      <c r="Q101" s="109">
        <v>1012.16</v>
      </c>
      <c r="R101" s="109">
        <v>8804.2099999999991</v>
      </c>
    </row>
    <row r="102" spans="1:18" x14ac:dyDescent="0.3">
      <c r="A102" s="116" t="s">
        <v>394</v>
      </c>
      <c r="B102" s="116" t="s">
        <v>322</v>
      </c>
      <c r="C102" s="116" t="s">
        <v>350</v>
      </c>
      <c r="D102" s="116" t="s">
        <v>367</v>
      </c>
      <c r="E102" s="116" t="s">
        <v>381</v>
      </c>
      <c r="F102" s="116">
        <v>40</v>
      </c>
      <c r="G102" s="117">
        <v>11058.71</v>
      </c>
      <c r="H102" s="116">
        <v>0</v>
      </c>
      <c r="I102" s="116" t="s">
        <v>322</v>
      </c>
      <c r="J102" s="117">
        <v>0</v>
      </c>
      <c r="K102" s="117">
        <v>0</v>
      </c>
      <c r="L102" s="117">
        <v>0</v>
      </c>
      <c r="M102" s="117">
        <v>0</v>
      </c>
      <c r="N102" s="117">
        <v>0</v>
      </c>
      <c r="O102" s="117">
        <v>1610.29</v>
      </c>
      <c r="P102" s="109">
        <v>1810.4</v>
      </c>
      <c r="Q102" s="109">
        <v>1067.8</v>
      </c>
      <c r="R102" s="109">
        <v>9790.7999999999993</v>
      </c>
    </row>
    <row r="103" spans="1:18" x14ac:dyDescent="0.3">
      <c r="A103" s="116" t="s">
        <v>394</v>
      </c>
      <c r="B103" s="116" t="s">
        <v>322</v>
      </c>
      <c r="C103" s="116" t="s">
        <v>369</v>
      </c>
      <c r="D103" s="116" t="s">
        <v>367</v>
      </c>
      <c r="E103" s="116" t="s">
        <v>395</v>
      </c>
      <c r="F103" s="116">
        <v>40</v>
      </c>
      <c r="G103" s="117">
        <v>9540.09</v>
      </c>
      <c r="H103" s="116">
        <v>0</v>
      </c>
      <c r="I103" s="116" t="s">
        <v>322</v>
      </c>
      <c r="J103" s="117">
        <v>0</v>
      </c>
      <c r="K103" s="117">
        <v>0</v>
      </c>
      <c r="L103" s="117">
        <v>0</v>
      </c>
      <c r="M103" s="117">
        <v>0</v>
      </c>
      <c r="N103" s="117">
        <v>0</v>
      </c>
      <c r="O103" s="117">
        <v>1610.29</v>
      </c>
      <c r="P103" s="109">
        <v>1356.17</v>
      </c>
      <c r="Q103" s="109">
        <v>1011.35</v>
      </c>
      <c r="R103" s="109">
        <v>8782.86</v>
      </c>
    </row>
    <row r="104" spans="1:18" x14ac:dyDescent="0.3">
      <c r="A104" s="116" t="s">
        <v>394</v>
      </c>
      <c r="B104" s="116" t="s">
        <v>322</v>
      </c>
      <c r="C104" s="116" t="s">
        <v>350</v>
      </c>
      <c r="D104" s="116" t="s">
        <v>367</v>
      </c>
      <c r="E104" s="116" t="s">
        <v>368</v>
      </c>
      <c r="F104" s="116">
        <v>40</v>
      </c>
      <c r="G104" s="117">
        <v>9804.7000000000007</v>
      </c>
      <c r="H104" s="116">
        <v>0</v>
      </c>
      <c r="I104" s="116" t="s">
        <v>322</v>
      </c>
      <c r="J104" s="117">
        <v>0</v>
      </c>
      <c r="K104" s="117">
        <v>0</v>
      </c>
      <c r="L104" s="117">
        <v>0</v>
      </c>
      <c r="M104" s="117">
        <v>0</v>
      </c>
      <c r="N104" s="117">
        <v>0</v>
      </c>
      <c r="O104" s="117">
        <v>1610.29</v>
      </c>
      <c r="P104" s="109">
        <v>1489.1</v>
      </c>
      <c r="Q104" s="109">
        <v>982.16</v>
      </c>
      <c r="R104" s="109">
        <v>8943.73</v>
      </c>
    </row>
    <row r="105" spans="1:18" x14ac:dyDescent="0.3">
      <c r="A105" s="116" t="s">
        <v>394</v>
      </c>
      <c r="B105" s="116" t="s">
        <v>322</v>
      </c>
      <c r="C105" s="116" t="s">
        <v>382</v>
      </c>
      <c r="D105" s="116" t="s">
        <v>367</v>
      </c>
      <c r="E105" s="116" t="s">
        <v>381</v>
      </c>
      <c r="F105" s="116">
        <v>40</v>
      </c>
      <c r="G105" s="117">
        <v>8392.02</v>
      </c>
      <c r="H105" s="116">
        <v>0</v>
      </c>
      <c r="I105" s="116" t="s">
        <v>322</v>
      </c>
      <c r="J105" s="117">
        <v>0</v>
      </c>
      <c r="K105" s="117">
        <v>0</v>
      </c>
      <c r="L105" s="117">
        <v>0</v>
      </c>
      <c r="M105" s="117">
        <v>0</v>
      </c>
      <c r="N105" s="117">
        <v>0</v>
      </c>
      <c r="O105" s="117">
        <v>4138.62</v>
      </c>
      <c r="P105" s="109">
        <v>1390.52</v>
      </c>
      <c r="Q105" s="109">
        <v>1181.99</v>
      </c>
      <c r="R105" s="109">
        <v>9958.1299999999992</v>
      </c>
    </row>
    <row r="106" spans="1:18" x14ac:dyDescent="0.3">
      <c r="A106" s="116" t="s">
        <v>394</v>
      </c>
      <c r="B106" s="116" t="s">
        <v>322</v>
      </c>
      <c r="C106" s="116"/>
      <c r="D106" s="116" t="s">
        <v>367</v>
      </c>
      <c r="E106" s="116" t="s">
        <v>381</v>
      </c>
      <c r="F106" s="116">
        <v>40</v>
      </c>
      <c r="G106" s="117">
        <v>7694.11</v>
      </c>
      <c r="H106" s="116">
        <v>0</v>
      </c>
      <c r="I106" s="116" t="s">
        <v>322</v>
      </c>
      <c r="J106" s="117">
        <v>0</v>
      </c>
      <c r="K106" s="117">
        <v>0</v>
      </c>
      <c r="L106" s="117">
        <v>0</v>
      </c>
      <c r="M106" s="117">
        <v>0</v>
      </c>
      <c r="N106" s="117">
        <v>0</v>
      </c>
      <c r="O106" s="117">
        <v>3074.19</v>
      </c>
      <c r="P106" s="109">
        <v>900.48</v>
      </c>
      <c r="Q106" s="109">
        <v>1012.02</v>
      </c>
      <c r="R106" s="109">
        <v>8855.7999999999993</v>
      </c>
    </row>
    <row r="107" spans="1:18" x14ac:dyDescent="0.3">
      <c r="A107" s="116" t="s">
        <v>396</v>
      </c>
      <c r="B107" s="116" t="s">
        <v>322</v>
      </c>
      <c r="C107" s="116" t="s">
        <v>350</v>
      </c>
      <c r="D107" s="116" t="s">
        <v>367</v>
      </c>
      <c r="E107" s="116" t="s">
        <v>397</v>
      </c>
      <c r="F107" s="116">
        <v>40</v>
      </c>
      <c r="G107" s="117">
        <v>6684.2</v>
      </c>
      <c r="H107" s="116">
        <v>0</v>
      </c>
      <c r="I107" s="116" t="s">
        <v>322</v>
      </c>
      <c r="J107" s="117">
        <v>0</v>
      </c>
      <c r="K107" s="117">
        <v>0</v>
      </c>
      <c r="L107" s="117">
        <v>0</v>
      </c>
      <c r="M107" s="117">
        <v>0</v>
      </c>
      <c r="N107" s="117">
        <v>0</v>
      </c>
      <c r="O107" s="117">
        <v>2565.36</v>
      </c>
      <c r="P107" s="109">
        <v>808</v>
      </c>
      <c r="Q107" s="109">
        <v>486.15</v>
      </c>
      <c r="R107" s="109">
        <v>7955.41</v>
      </c>
    </row>
    <row r="108" spans="1:18" x14ac:dyDescent="0.3">
      <c r="A108" s="116" t="s">
        <v>396</v>
      </c>
      <c r="B108" s="116" t="s">
        <v>322</v>
      </c>
      <c r="C108" s="116" t="s">
        <v>369</v>
      </c>
      <c r="D108" s="116" t="s">
        <v>367</v>
      </c>
      <c r="E108" s="116" t="s">
        <v>384</v>
      </c>
      <c r="F108" s="116">
        <v>40</v>
      </c>
      <c r="G108" s="117">
        <v>5613.7</v>
      </c>
      <c r="H108" s="116">
        <v>0</v>
      </c>
      <c r="I108" s="116" t="s">
        <v>322</v>
      </c>
      <c r="J108" s="117">
        <v>1871.23</v>
      </c>
      <c r="K108" s="117">
        <v>0</v>
      </c>
      <c r="L108" s="117">
        <v>0</v>
      </c>
      <c r="M108" s="117">
        <v>0</v>
      </c>
      <c r="N108" s="117">
        <v>0</v>
      </c>
      <c r="O108" s="117">
        <v>2443.1999999999998</v>
      </c>
      <c r="P108" s="109">
        <v>512.34</v>
      </c>
      <c r="Q108" s="109">
        <v>532.61</v>
      </c>
      <c r="R108" s="109">
        <v>8883.18</v>
      </c>
    </row>
    <row r="109" spans="1:18" x14ac:dyDescent="0.3">
      <c r="A109" s="116" t="s">
        <v>396</v>
      </c>
      <c r="B109" s="116" t="s">
        <v>322</v>
      </c>
      <c r="C109" s="116" t="s">
        <v>375</v>
      </c>
      <c r="D109" s="116" t="s">
        <v>367</v>
      </c>
      <c r="E109" s="116" t="s">
        <v>387</v>
      </c>
      <c r="F109" s="116">
        <v>40</v>
      </c>
      <c r="G109" s="117">
        <v>10552.2</v>
      </c>
      <c r="H109" s="116">
        <v>0</v>
      </c>
      <c r="I109" s="116" t="s">
        <v>322</v>
      </c>
      <c r="J109" s="117">
        <v>3517.4</v>
      </c>
      <c r="K109" s="117">
        <v>0</v>
      </c>
      <c r="L109" s="117">
        <v>0</v>
      </c>
      <c r="M109" s="117">
        <v>0</v>
      </c>
      <c r="N109" s="117">
        <v>0</v>
      </c>
      <c r="O109" s="117">
        <v>2443.1999999999998</v>
      </c>
      <c r="P109" s="109">
        <v>2026.24</v>
      </c>
      <c r="Q109" s="109">
        <v>537.70000000000005</v>
      </c>
      <c r="R109" s="109">
        <v>13948.86</v>
      </c>
    </row>
    <row r="110" spans="1:18" x14ac:dyDescent="0.3">
      <c r="A110" s="116" t="s">
        <v>398</v>
      </c>
      <c r="B110" s="116" t="s">
        <v>322</v>
      </c>
      <c r="C110" s="116"/>
      <c r="D110" s="116" t="s">
        <v>367</v>
      </c>
      <c r="E110" s="116" t="s">
        <v>370</v>
      </c>
      <c r="F110" s="116">
        <v>40</v>
      </c>
      <c r="G110" s="117">
        <v>9302.2800000000007</v>
      </c>
      <c r="H110" s="116">
        <v>0</v>
      </c>
      <c r="I110" s="116" t="s">
        <v>322</v>
      </c>
      <c r="J110" s="117">
        <v>0</v>
      </c>
      <c r="K110" s="117">
        <v>0</v>
      </c>
      <c r="L110" s="117">
        <v>0</v>
      </c>
      <c r="M110" s="117">
        <v>0</v>
      </c>
      <c r="N110" s="117">
        <v>0</v>
      </c>
      <c r="O110" s="117">
        <v>3227.92</v>
      </c>
      <c r="P110" s="109">
        <v>1673.17</v>
      </c>
      <c r="Q110" s="109">
        <v>1269.32</v>
      </c>
      <c r="R110" s="109">
        <v>9587.7099999999991</v>
      </c>
    </row>
    <row r="111" spans="1:18" x14ac:dyDescent="0.3">
      <c r="A111" s="116" t="s">
        <v>398</v>
      </c>
      <c r="B111" s="116" t="s">
        <v>390</v>
      </c>
      <c r="C111" s="116"/>
      <c r="D111" s="116" t="s">
        <v>367</v>
      </c>
      <c r="E111" s="116" t="s">
        <v>386</v>
      </c>
      <c r="F111" s="116">
        <v>40</v>
      </c>
      <c r="G111" s="117">
        <v>8669.9599999999991</v>
      </c>
      <c r="H111" s="116">
        <v>0</v>
      </c>
      <c r="I111" s="116" t="s">
        <v>322</v>
      </c>
      <c r="J111" s="117">
        <v>0</v>
      </c>
      <c r="K111" s="117">
        <v>0</v>
      </c>
      <c r="L111" s="117">
        <v>0</v>
      </c>
      <c r="M111" s="117">
        <v>0</v>
      </c>
      <c r="N111" s="117">
        <v>0</v>
      </c>
      <c r="O111" s="117">
        <v>3224.68</v>
      </c>
      <c r="P111" s="109">
        <v>1499.28</v>
      </c>
      <c r="Q111" s="109">
        <v>1168.1500000000001</v>
      </c>
      <c r="R111" s="109">
        <v>9227.2099999999991</v>
      </c>
    </row>
    <row r="112" spans="1:18" x14ac:dyDescent="0.3">
      <c r="A112" s="116" t="s">
        <v>371</v>
      </c>
      <c r="B112" s="116" t="s">
        <v>322</v>
      </c>
      <c r="C112" s="116"/>
      <c r="D112" s="116" t="s">
        <v>399</v>
      </c>
      <c r="E112" s="116" t="s">
        <v>400</v>
      </c>
      <c r="F112" s="116">
        <v>40</v>
      </c>
      <c r="G112" s="117">
        <v>7690.89</v>
      </c>
      <c r="H112" s="116">
        <v>0</v>
      </c>
      <c r="I112" s="116" t="s">
        <v>322</v>
      </c>
      <c r="J112" s="117">
        <v>0</v>
      </c>
      <c r="K112" s="117">
        <v>0</v>
      </c>
      <c r="L112" s="117">
        <v>0</v>
      </c>
      <c r="M112" s="117">
        <v>0</v>
      </c>
      <c r="N112" s="117">
        <v>0</v>
      </c>
      <c r="O112" s="117">
        <v>3220.57</v>
      </c>
      <c r="P112" s="109">
        <v>951.87</v>
      </c>
      <c r="Q112" s="109">
        <v>1011.5</v>
      </c>
      <c r="R112" s="109">
        <v>8948.09</v>
      </c>
    </row>
    <row r="113" spans="1:18" x14ac:dyDescent="0.3">
      <c r="A113" s="116" t="s">
        <v>371</v>
      </c>
      <c r="B113" s="116" t="s">
        <v>322</v>
      </c>
      <c r="C113" s="116" t="s">
        <v>382</v>
      </c>
      <c r="D113" s="116" t="s">
        <v>399</v>
      </c>
      <c r="E113" s="116" t="s">
        <v>401</v>
      </c>
      <c r="F113" s="116">
        <v>40</v>
      </c>
      <c r="G113" s="117">
        <v>12960.31</v>
      </c>
      <c r="H113" s="116">
        <v>0</v>
      </c>
      <c r="I113" s="116" t="s">
        <v>322</v>
      </c>
      <c r="J113" s="117">
        <v>0</v>
      </c>
      <c r="K113" s="117">
        <v>0</v>
      </c>
      <c r="L113" s="117">
        <v>0</v>
      </c>
      <c r="M113" s="117">
        <v>0</v>
      </c>
      <c r="N113" s="117">
        <v>0</v>
      </c>
      <c r="O113" s="117">
        <v>1756.67</v>
      </c>
      <c r="P113" s="109">
        <v>2208.34</v>
      </c>
      <c r="Q113" s="109">
        <v>1143.17</v>
      </c>
      <c r="R113" s="109">
        <v>11365.47</v>
      </c>
    </row>
    <row r="114" spans="1:18" x14ac:dyDescent="0.3">
      <c r="A114" s="116" t="s">
        <v>371</v>
      </c>
      <c r="B114" s="116" t="s">
        <v>322</v>
      </c>
      <c r="C114" s="116"/>
      <c r="D114" s="116" t="s">
        <v>399</v>
      </c>
      <c r="E114" s="116" t="s">
        <v>402</v>
      </c>
      <c r="F114" s="116">
        <v>40</v>
      </c>
      <c r="G114" s="117">
        <v>4717.25</v>
      </c>
      <c r="H114" s="116">
        <v>0</v>
      </c>
      <c r="I114" s="116" t="s">
        <v>322</v>
      </c>
      <c r="J114" s="117">
        <v>0</v>
      </c>
      <c r="K114" s="117">
        <v>0</v>
      </c>
      <c r="L114" s="117">
        <v>0</v>
      </c>
      <c r="M114" s="117">
        <v>0</v>
      </c>
      <c r="N114" s="117">
        <v>0</v>
      </c>
      <c r="O114" s="117">
        <v>1651.52</v>
      </c>
      <c r="P114" s="109">
        <v>290.85000000000002</v>
      </c>
      <c r="Q114" s="109">
        <v>486.35</v>
      </c>
      <c r="R114" s="109">
        <v>5591.57</v>
      </c>
    </row>
    <row r="115" spans="1:18" x14ac:dyDescent="0.3">
      <c r="A115" s="116" t="s">
        <v>371</v>
      </c>
      <c r="B115" s="116" t="s">
        <v>322</v>
      </c>
      <c r="C115" s="116"/>
      <c r="D115" s="116" t="s">
        <v>399</v>
      </c>
      <c r="E115" s="116" t="s">
        <v>403</v>
      </c>
      <c r="F115" s="116">
        <v>40</v>
      </c>
      <c r="G115" s="117">
        <v>10289.870000000001</v>
      </c>
      <c r="H115" s="116">
        <v>0</v>
      </c>
      <c r="I115" s="116" t="s">
        <v>322</v>
      </c>
      <c r="J115" s="117">
        <v>0</v>
      </c>
      <c r="K115" s="117">
        <v>0</v>
      </c>
      <c r="L115" s="117">
        <v>0</v>
      </c>
      <c r="M115" s="117">
        <v>0</v>
      </c>
      <c r="N115" s="117">
        <v>0</v>
      </c>
      <c r="O115" s="117">
        <v>3366.96</v>
      </c>
      <c r="P115" s="109">
        <v>1593.68</v>
      </c>
      <c r="Q115" s="109">
        <v>1276.6500000000001</v>
      </c>
      <c r="R115" s="109">
        <v>10786.5</v>
      </c>
    </row>
    <row r="116" spans="1:18" x14ac:dyDescent="0.3">
      <c r="A116" s="116" t="s">
        <v>371</v>
      </c>
      <c r="B116" s="116" t="s">
        <v>322</v>
      </c>
      <c r="C116" s="116"/>
      <c r="D116" s="116" t="s">
        <v>399</v>
      </c>
      <c r="E116" s="116" t="s">
        <v>404</v>
      </c>
      <c r="F116" s="116">
        <v>40</v>
      </c>
      <c r="G116" s="117">
        <v>8460.67</v>
      </c>
      <c r="H116" s="116">
        <v>0</v>
      </c>
      <c r="I116" s="116" t="s">
        <v>322</v>
      </c>
      <c r="J116" s="117">
        <v>0</v>
      </c>
      <c r="K116" s="117">
        <v>0</v>
      </c>
      <c r="L116" s="117">
        <v>0</v>
      </c>
      <c r="M116" s="117">
        <v>0</v>
      </c>
      <c r="N116" s="117">
        <v>0</v>
      </c>
      <c r="O116" s="117">
        <v>2488.62</v>
      </c>
      <c r="P116" s="109">
        <v>1059.51</v>
      </c>
      <c r="Q116" s="109">
        <v>1010.68</v>
      </c>
      <c r="R116" s="109">
        <v>8879.1</v>
      </c>
    </row>
    <row r="117" spans="1:18" x14ac:dyDescent="0.3">
      <c r="A117" s="116" t="s">
        <v>371</v>
      </c>
      <c r="B117" s="116" t="s">
        <v>322</v>
      </c>
      <c r="C117" s="116"/>
      <c r="D117" s="116" t="s">
        <v>399</v>
      </c>
      <c r="E117" s="116" t="s">
        <v>405</v>
      </c>
      <c r="F117" s="116">
        <v>40</v>
      </c>
      <c r="G117" s="117">
        <v>10144.959999999999</v>
      </c>
      <c r="H117" s="116">
        <v>0</v>
      </c>
      <c r="I117" s="116" t="s">
        <v>322</v>
      </c>
      <c r="J117" s="117">
        <v>0</v>
      </c>
      <c r="K117" s="117">
        <v>0</v>
      </c>
      <c r="L117" s="117">
        <v>0</v>
      </c>
      <c r="M117" s="117">
        <v>0</v>
      </c>
      <c r="N117" s="117">
        <v>0</v>
      </c>
      <c r="O117" s="117">
        <v>3366.96</v>
      </c>
      <c r="P117" s="109">
        <v>1506.86</v>
      </c>
      <c r="Q117" s="109">
        <v>1257.8499999999999</v>
      </c>
      <c r="R117" s="109">
        <v>10747.21</v>
      </c>
    </row>
    <row r="118" spans="1:18" x14ac:dyDescent="0.3">
      <c r="A118" s="116" t="s">
        <v>371</v>
      </c>
      <c r="B118" s="116" t="s">
        <v>322</v>
      </c>
      <c r="C118" s="116" t="s">
        <v>406</v>
      </c>
      <c r="D118" s="116" t="s">
        <v>399</v>
      </c>
      <c r="E118" s="116" t="s">
        <v>407</v>
      </c>
      <c r="F118" s="116">
        <v>40</v>
      </c>
      <c r="G118" s="117">
        <v>21048.7</v>
      </c>
      <c r="H118" s="116">
        <v>0</v>
      </c>
      <c r="I118" s="116" t="s">
        <v>322</v>
      </c>
      <c r="J118" s="117">
        <v>0</v>
      </c>
      <c r="K118" s="117">
        <v>0</v>
      </c>
      <c r="L118" s="117">
        <v>0</v>
      </c>
      <c r="M118" s="117">
        <v>0</v>
      </c>
      <c r="N118" s="117">
        <v>0</v>
      </c>
      <c r="O118" s="117">
        <v>2635.01</v>
      </c>
      <c r="P118" s="109">
        <v>3378.95</v>
      </c>
      <c r="Q118" s="109">
        <v>2649.73</v>
      </c>
      <c r="R118" s="109">
        <v>17655.03</v>
      </c>
    </row>
    <row r="119" spans="1:18" x14ac:dyDescent="0.3">
      <c r="A119" s="116" t="s">
        <v>371</v>
      </c>
      <c r="B119" s="116" t="s">
        <v>390</v>
      </c>
      <c r="C119" s="116"/>
      <c r="D119" s="116" t="s">
        <v>399</v>
      </c>
      <c r="E119" s="116" t="s">
        <v>408</v>
      </c>
      <c r="F119" s="116">
        <v>40</v>
      </c>
      <c r="G119" s="117">
        <v>19377.939999999999</v>
      </c>
      <c r="H119" s="116">
        <v>0</v>
      </c>
      <c r="I119" s="116" t="s">
        <v>322</v>
      </c>
      <c r="J119" s="117">
        <v>0</v>
      </c>
      <c r="K119" s="117">
        <v>0</v>
      </c>
      <c r="L119" s="117">
        <v>0</v>
      </c>
      <c r="M119" s="117">
        <v>0</v>
      </c>
      <c r="N119" s="117">
        <v>0</v>
      </c>
      <c r="O119" s="117">
        <v>4356.47</v>
      </c>
      <c r="P119" s="109">
        <v>4443.97</v>
      </c>
      <c r="Q119" s="109">
        <v>2599.8000000000002</v>
      </c>
      <c r="R119" s="109">
        <v>16690.64</v>
      </c>
    </row>
    <row r="120" spans="1:18" x14ac:dyDescent="0.3">
      <c r="A120" s="116" t="s">
        <v>371</v>
      </c>
      <c r="B120" s="116" t="s">
        <v>322</v>
      </c>
      <c r="C120" s="116"/>
      <c r="D120" s="116" t="s">
        <v>399</v>
      </c>
      <c r="E120" s="116" t="s">
        <v>409</v>
      </c>
      <c r="F120" s="116">
        <v>40</v>
      </c>
      <c r="G120" s="117">
        <v>10750.4</v>
      </c>
      <c r="H120" s="116">
        <v>0</v>
      </c>
      <c r="I120" s="116" t="s">
        <v>322</v>
      </c>
      <c r="J120" s="117">
        <v>0</v>
      </c>
      <c r="K120" s="117">
        <v>0</v>
      </c>
      <c r="L120" s="117">
        <v>0</v>
      </c>
      <c r="M120" s="117">
        <v>0</v>
      </c>
      <c r="N120" s="117">
        <v>0</v>
      </c>
      <c r="O120" s="117">
        <v>1903.06</v>
      </c>
      <c r="P120" s="109">
        <v>1700.06</v>
      </c>
      <c r="Q120" s="109">
        <v>1350.34</v>
      </c>
      <c r="R120" s="109">
        <v>9603.06</v>
      </c>
    </row>
    <row r="121" spans="1:18" x14ac:dyDescent="0.3">
      <c r="A121" s="116" t="s">
        <v>371</v>
      </c>
      <c r="B121" s="116" t="s">
        <v>322</v>
      </c>
      <c r="C121" s="116"/>
      <c r="D121" s="116" t="s">
        <v>399</v>
      </c>
      <c r="E121" s="116" t="s">
        <v>410</v>
      </c>
      <c r="F121" s="116">
        <v>40</v>
      </c>
      <c r="G121" s="117">
        <v>18313.59</v>
      </c>
      <c r="H121" s="116">
        <v>0</v>
      </c>
      <c r="I121" s="116" t="s">
        <v>322</v>
      </c>
      <c r="J121" s="117">
        <v>0</v>
      </c>
      <c r="K121" s="117">
        <v>0</v>
      </c>
      <c r="L121" s="117">
        <v>0</v>
      </c>
      <c r="M121" s="117">
        <v>0</v>
      </c>
      <c r="N121" s="117">
        <v>0</v>
      </c>
      <c r="O121" s="117">
        <v>6078.09</v>
      </c>
      <c r="P121" s="109">
        <v>3957.42</v>
      </c>
      <c r="Q121" s="109">
        <v>2711.13</v>
      </c>
      <c r="R121" s="109">
        <v>17723.13</v>
      </c>
    </row>
    <row r="122" spans="1:18" x14ac:dyDescent="0.3">
      <c r="A122" s="116" t="s">
        <v>371</v>
      </c>
      <c r="B122" s="116" t="s">
        <v>322</v>
      </c>
      <c r="C122" s="116"/>
      <c r="D122" s="116" t="s">
        <v>399</v>
      </c>
      <c r="E122" s="116" t="s">
        <v>411</v>
      </c>
      <c r="F122" s="116">
        <v>40</v>
      </c>
      <c r="G122" s="117">
        <v>13131.81</v>
      </c>
      <c r="H122" s="116">
        <v>0</v>
      </c>
      <c r="I122" s="116" t="s">
        <v>322</v>
      </c>
      <c r="J122" s="117">
        <v>0</v>
      </c>
      <c r="K122" s="117">
        <v>0</v>
      </c>
      <c r="L122" s="117">
        <v>0</v>
      </c>
      <c r="M122" s="117">
        <v>0</v>
      </c>
      <c r="N122" s="117">
        <v>0</v>
      </c>
      <c r="O122" s="117">
        <v>731.95</v>
      </c>
      <c r="P122" s="109">
        <v>2373.5700000000002</v>
      </c>
      <c r="Q122" s="109">
        <v>1282.6099999999999</v>
      </c>
      <c r="R122" s="109">
        <v>10207.58</v>
      </c>
    </row>
    <row r="123" spans="1:18" x14ac:dyDescent="0.3">
      <c r="A123" s="116" t="s">
        <v>371</v>
      </c>
      <c r="B123" s="116" t="s">
        <v>322</v>
      </c>
      <c r="C123" s="116"/>
      <c r="D123" s="116" t="s">
        <v>399</v>
      </c>
      <c r="E123" s="116" t="s">
        <v>412</v>
      </c>
      <c r="F123" s="116">
        <v>40</v>
      </c>
      <c r="G123" s="117">
        <v>13438.5</v>
      </c>
      <c r="H123" s="116">
        <v>0</v>
      </c>
      <c r="I123" s="116" t="s">
        <v>322</v>
      </c>
      <c r="J123" s="117">
        <v>0</v>
      </c>
      <c r="K123" s="117">
        <v>0</v>
      </c>
      <c r="L123" s="117">
        <v>0</v>
      </c>
      <c r="M123" s="117">
        <v>0</v>
      </c>
      <c r="N123" s="117">
        <v>0</v>
      </c>
      <c r="O123" s="117">
        <v>3366.96</v>
      </c>
      <c r="P123" s="109">
        <v>2528.8000000000002</v>
      </c>
      <c r="Q123" s="109">
        <v>1024.8399999999999</v>
      </c>
      <c r="R123" s="109">
        <v>13251.82</v>
      </c>
    </row>
    <row r="124" spans="1:18" x14ac:dyDescent="0.3">
      <c r="A124" s="116" t="s">
        <v>371</v>
      </c>
      <c r="B124" s="116" t="s">
        <v>322</v>
      </c>
      <c r="C124" s="116"/>
      <c r="D124" s="116" t="s">
        <v>399</v>
      </c>
      <c r="E124" s="116" t="s">
        <v>413</v>
      </c>
      <c r="F124" s="116">
        <v>40</v>
      </c>
      <c r="G124" s="117">
        <v>10366.01</v>
      </c>
      <c r="H124" s="116">
        <v>0</v>
      </c>
      <c r="I124" s="116" t="s">
        <v>322</v>
      </c>
      <c r="J124" s="117">
        <v>0</v>
      </c>
      <c r="K124" s="117">
        <v>0</v>
      </c>
      <c r="L124" s="117">
        <v>0</v>
      </c>
      <c r="M124" s="117">
        <v>0</v>
      </c>
      <c r="N124" s="117">
        <v>0</v>
      </c>
      <c r="O124" s="117">
        <v>3659.74</v>
      </c>
      <c r="P124" s="109">
        <v>1611.26</v>
      </c>
      <c r="Q124" s="109">
        <v>1288.83</v>
      </c>
      <c r="R124" s="109">
        <v>11125.66</v>
      </c>
    </row>
    <row r="125" spans="1:18" x14ac:dyDescent="0.3">
      <c r="A125" s="116" t="s">
        <v>371</v>
      </c>
      <c r="B125" s="116" t="s">
        <v>322</v>
      </c>
      <c r="C125" s="116"/>
      <c r="D125" s="116" t="s">
        <v>399</v>
      </c>
      <c r="E125" s="116" t="s">
        <v>414</v>
      </c>
      <c r="F125" s="116">
        <v>40</v>
      </c>
      <c r="G125" s="117">
        <v>10528.64</v>
      </c>
      <c r="H125" s="116">
        <v>0</v>
      </c>
      <c r="I125" s="116" t="s">
        <v>322</v>
      </c>
      <c r="J125" s="117">
        <v>0</v>
      </c>
      <c r="K125" s="117">
        <v>0</v>
      </c>
      <c r="L125" s="117">
        <v>0</v>
      </c>
      <c r="M125" s="117">
        <v>0</v>
      </c>
      <c r="N125" s="117">
        <v>0</v>
      </c>
      <c r="O125" s="117">
        <v>3366.96</v>
      </c>
      <c r="P125" s="109">
        <v>1647.62</v>
      </c>
      <c r="Q125" s="109">
        <v>1319.24</v>
      </c>
      <c r="R125" s="109">
        <v>10928.74</v>
      </c>
    </row>
    <row r="126" spans="1:18" x14ac:dyDescent="0.3">
      <c r="A126" s="116" t="s">
        <v>371</v>
      </c>
      <c r="B126" s="116" t="s">
        <v>322</v>
      </c>
      <c r="C126" s="116"/>
      <c r="D126" s="116" t="s">
        <v>399</v>
      </c>
      <c r="E126" s="116" t="s">
        <v>415</v>
      </c>
      <c r="F126" s="116">
        <v>40</v>
      </c>
      <c r="G126" s="117">
        <v>3283.43</v>
      </c>
      <c r="H126" s="116">
        <v>0</v>
      </c>
      <c r="I126" s="116" t="s">
        <v>322</v>
      </c>
      <c r="J126" s="117">
        <v>0</v>
      </c>
      <c r="K126" s="117">
        <v>0</v>
      </c>
      <c r="L126" s="117">
        <v>0</v>
      </c>
      <c r="M126" s="117">
        <v>0</v>
      </c>
      <c r="N126" s="117">
        <v>0</v>
      </c>
      <c r="O126" s="117">
        <v>45.81</v>
      </c>
      <c r="P126" s="109">
        <v>48.26</v>
      </c>
      <c r="Q126" s="109">
        <v>377.63</v>
      </c>
      <c r="R126" s="109">
        <v>2903.35</v>
      </c>
    </row>
    <row r="127" spans="1:18" x14ac:dyDescent="0.3">
      <c r="A127" s="116" t="s">
        <v>371</v>
      </c>
      <c r="B127" s="116" t="s">
        <v>322</v>
      </c>
      <c r="C127" s="116"/>
      <c r="D127" s="116" t="s">
        <v>399</v>
      </c>
      <c r="E127" s="116" t="s">
        <v>416</v>
      </c>
      <c r="F127" s="116">
        <v>40</v>
      </c>
      <c r="G127" s="117">
        <v>7690.31</v>
      </c>
      <c r="H127" s="116">
        <v>0</v>
      </c>
      <c r="I127" s="116" t="s">
        <v>322</v>
      </c>
      <c r="J127" s="117">
        <v>0</v>
      </c>
      <c r="K127" s="117">
        <v>0</v>
      </c>
      <c r="L127" s="117">
        <v>0</v>
      </c>
      <c r="M127" s="117">
        <v>0</v>
      </c>
      <c r="N127" s="117">
        <v>0</v>
      </c>
      <c r="O127" s="117">
        <v>2978.06</v>
      </c>
      <c r="P127" s="109">
        <v>925.3</v>
      </c>
      <c r="Q127" s="109">
        <v>1011.41</v>
      </c>
      <c r="R127" s="109">
        <v>8731.66</v>
      </c>
    </row>
    <row r="128" spans="1:18" x14ac:dyDescent="0.3">
      <c r="A128" s="116" t="s">
        <v>371</v>
      </c>
      <c r="B128" s="116" t="s">
        <v>322</v>
      </c>
      <c r="C128" s="116"/>
      <c r="D128" s="116" t="s">
        <v>399</v>
      </c>
      <c r="E128" s="116" t="s">
        <v>417</v>
      </c>
      <c r="F128" s="116">
        <v>40</v>
      </c>
      <c r="G128" s="117">
        <v>7016.51</v>
      </c>
      <c r="H128" s="116">
        <v>0</v>
      </c>
      <c r="I128" s="116" t="s">
        <v>322</v>
      </c>
      <c r="J128" s="117">
        <v>0</v>
      </c>
      <c r="K128" s="117">
        <v>0</v>
      </c>
      <c r="L128" s="117">
        <v>0</v>
      </c>
      <c r="M128" s="117">
        <v>0</v>
      </c>
      <c r="N128" s="117">
        <v>0</v>
      </c>
      <c r="O128" s="117">
        <v>3371.04</v>
      </c>
      <c r="P128" s="109">
        <v>795.41</v>
      </c>
      <c r="Q128" s="109">
        <v>906.06</v>
      </c>
      <c r="R128" s="109">
        <v>8686.08</v>
      </c>
    </row>
    <row r="129" spans="1:18" x14ac:dyDescent="0.3">
      <c r="A129" s="116" t="s">
        <v>371</v>
      </c>
      <c r="B129" s="116" t="s">
        <v>322</v>
      </c>
      <c r="C129" s="116"/>
      <c r="D129" s="116" t="s">
        <v>399</v>
      </c>
      <c r="E129" s="116" t="s">
        <v>418</v>
      </c>
      <c r="F129" s="116">
        <v>40</v>
      </c>
      <c r="G129" s="117">
        <v>9811.1</v>
      </c>
      <c r="H129" s="116">
        <v>0</v>
      </c>
      <c r="I129" s="116" t="s">
        <v>322</v>
      </c>
      <c r="J129" s="117">
        <v>0</v>
      </c>
      <c r="K129" s="117">
        <v>0</v>
      </c>
      <c r="L129" s="117">
        <v>0</v>
      </c>
      <c r="M129" s="117">
        <v>0</v>
      </c>
      <c r="N129" s="117">
        <v>0</v>
      </c>
      <c r="O129" s="117">
        <v>2447.7399999999998</v>
      </c>
      <c r="P129" s="109">
        <v>1378.26</v>
      </c>
      <c r="Q129" s="109">
        <v>1350.74</v>
      </c>
      <c r="R129" s="109">
        <v>9529.84</v>
      </c>
    </row>
    <row r="130" spans="1:18" x14ac:dyDescent="0.3">
      <c r="A130" s="116" t="s">
        <v>371</v>
      </c>
      <c r="B130" s="116" t="s">
        <v>322</v>
      </c>
      <c r="C130" s="116"/>
      <c r="D130" s="116" t="s">
        <v>399</v>
      </c>
      <c r="E130" s="116" t="s">
        <v>419</v>
      </c>
      <c r="F130" s="116">
        <v>40</v>
      </c>
      <c r="G130" s="117">
        <v>8073.26</v>
      </c>
      <c r="H130" s="116">
        <v>0</v>
      </c>
      <c r="I130" s="116" t="s">
        <v>322</v>
      </c>
      <c r="J130" s="117">
        <v>0</v>
      </c>
      <c r="K130" s="117">
        <v>0</v>
      </c>
      <c r="L130" s="117">
        <v>0</v>
      </c>
      <c r="M130" s="117">
        <v>0</v>
      </c>
      <c r="N130" s="117">
        <v>0</v>
      </c>
      <c r="O130" s="117">
        <v>1903.06</v>
      </c>
      <c r="P130" s="109">
        <v>967.29</v>
      </c>
      <c r="Q130" s="109">
        <v>958.63</v>
      </c>
      <c r="R130" s="109">
        <v>8050.4</v>
      </c>
    </row>
    <row r="131" spans="1:18" x14ac:dyDescent="0.3">
      <c r="A131" s="116" t="s">
        <v>371</v>
      </c>
      <c r="B131" s="116" t="s">
        <v>322</v>
      </c>
      <c r="C131" s="116"/>
      <c r="D131" s="116" t="s">
        <v>399</v>
      </c>
      <c r="E131" s="116" t="s">
        <v>420</v>
      </c>
      <c r="F131" s="116">
        <v>40</v>
      </c>
      <c r="G131" s="117">
        <v>11894.79</v>
      </c>
      <c r="H131" s="116">
        <v>0</v>
      </c>
      <c r="I131" s="116" t="s">
        <v>322</v>
      </c>
      <c r="J131" s="117">
        <v>0</v>
      </c>
      <c r="K131" s="117">
        <v>0</v>
      </c>
      <c r="L131" s="117">
        <v>0</v>
      </c>
      <c r="M131" s="117">
        <v>0</v>
      </c>
      <c r="N131" s="117">
        <v>0</v>
      </c>
      <c r="O131" s="117">
        <v>3366.96</v>
      </c>
      <c r="P131" s="109">
        <v>1928.18</v>
      </c>
      <c r="Q131" s="109">
        <v>1475.6</v>
      </c>
      <c r="R131" s="109">
        <v>11857.97</v>
      </c>
    </row>
    <row r="132" spans="1:18" x14ac:dyDescent="0.3">
      <c r="A132" s="116" t="s">
        <v>371</v>
      </c>
      <c r="B132" s="116" t="s">
        <v>322</v>
      </c>
      <c r="C132" s="116"/>
      <c r="D132" s="116" t="s">
        <v>399</v>
      </c>
      <c r="E132" s="116" t="s">
        <v>421</v>
      </c>
      <c r="F132" s="116">
        <v>40</v>
      </c>
      <c r="G132" s="117">
        <v>12220.13</v>
      </c>
      <c r="H132" s="116">
        <v>0</v>
      </c>
      <c r="I132" s="116" t="s">
        <v>322</v>
      </c>
      <c r="J132" s="117">
        <v>0</v>
      </c>
      <c r="K132" s="117">
        <v>0</v>
      </c>
      <c r="L132" s="117">
        <v>0</v>
      </c>
      <c r="M132" s="117">
        <v>0</v>
      </c>
      <c r="N132" s="117">
        <v>0</v>
      </c>
      <c r="O132" s="117">
        <v>1903.06</v>
      </c>
      <c r="P132" s="109">
        <v>1935.29</v>
      </c>
      <c r="Q132" s="109">
        <v>1585.49</v>
      </c>
      <c r="R132" s="109">
        <v>10602.41</v>
      </c>
    </row>
    <row r="133" spans="1:18" x14ac:dyDescent="0.3">
      <c r="A133" s="116" t="s">
        <v>371</v>
      </c>
      <c r="B133" s="116" t="s">
        <v>322</v>
      </c>
      <c r="C133" s="116"/>
      <c r="D133" s="116" t="s">
        <v>399</v>
      </c>
      <c r="E133" s="116" t="s">
        <v>409</v>
      </c>
      <c r="F133" s="116">
        <v>40</v>
      </c>
      <c r="G133" s="117">
        <v>10769.05</v>
      </c>
      <c r="H133" s="116">
        <v>0</v>
      </c>
      <c r="I133" s="116" t="s">
        <v>322</v>
      </c>
      <c r="J133" s="117">
        <v>3589.68</v>
      </c>
      <c r="K133" s="117">
        <v>0</v>
      </c>
      <c r="L133" s="117">
        <v>0</v>
      </c>
      <c r="M133" s="117">
        <v>0</v>
      </c>
      <c r="N133" s="117">
        <v>0</v>
      </c>
      <c r="O133" s="117">
        <v>3366.96</v>
      </c>
      <c r="P133" s="109">
        <v>1872.42</v>
      </c>
      <c r="Q133" s="109">
        <v>1353.32</v>
      </c>
      <c r="R133" s="109">
        <v>14499.95</v>
      </c>
    </row>
    <row r="134" spans="1:18" x14ac:dyDescent="0.3">
      <c r="A134" s="116" t="s">
        <v>371</v>
      </c>
      <c r="B134" s="116" t="s">
        <v>390</v>
      </c>
      <c r="C134" s="116"/>
      <c r="D134" s="116" t="s">
        <v>399</v>
      </c>
      <c r="E134" s="116" t="s">
        <v>422</v>
      </c>
      <c r="F134" s="116">
        <v>40</v>
      </c>
      <c r="G134" s="117">
        <v>15811.37</v>
      </c>
      <c r="H134" s="116">
        <v>0</v>
      </c>
      <c r="I134" s="116" t="s">
        <v>322</v>
      </c>
      <c r="J134" s="117">
        <v>0</v>
      </c>
      <c r="K134" s="117">
        <v>0</v>
      </c>
      <c r="L134" s="117">
        <v>0</v>
      </c>
      <c r="M134" s="117">
        <v>0</v>
      </c>
      <c r="N134" s="117">
        <v>0</v>
      </c>
      <c r="O134" s="117">
        <v>3100.3</v>
      </c>
      <c r="P134" s="109">
        <v>3463.17</v>
      </c>
      <c r="Q134" s="109">
        <v>1636.41</v>
      </c>
      <c r="R134" s="109">
        <v>13812.09</v>
      </c>
    </row>
    <row r="135" spans="1:18" x14ac:dyDescent="0.3">
      <c r="A135" s="116" t="s">
        <v>371</v>
      </c>
      <c r="B135" s="116" t="s">
        <v>322</v>
      </c>
      <c r="C135" s="116"/>
      <c r="D135" s="116" t="s">
        <v>399</v>
      </c>
      <c r="E135" s="116" t="s">
        <v>423</v>
      </c>
      <c r="F135" s="116">
        <v>40</v>
      </c>
      <c r="G135" s="117">
        <v>9714.5</v>
      </c>
      <c r="H135" s="116">
        <v>0</v>
      </c>
      <c r="I135" s="116" t="s">
        <v>322</v>
      </c>
      <c r="J135" s="117">
        <v>0</v>
      </c>
      <c r="K135" s="117">
        <v>0</v>
      </c>
      <c r="L135" s="117">
        <v>0</v>
      </c>
      <c r="M135" s="117">
        <v>0</v>
      </c>
      <c r="N135" s="117">
        <v>0</v>
      </c>
      <c r="O135" s="117">
        <v>3074.19</v>
      </c>
      <c r="P135" s="109">
        <v>1419.33</v>
      </c>
      <c r="Q135" s="109">
        <v>1335.28</v>
      </c>
      <c r="R135" s="109">
        <v>10034.08</v>
      </c>
    </row>
    <row r="136" spans="1:18" x14ac:dyDescent="0.3">
      <c r="A136" s="116" t="s">
        <v>371</v>
      </c>
      <c r="B136" s="116" t="s">
        <v>322</v>
      </c>
      <c r="C136" s="116"/>
      <c r="D136" s="116" t="s">
        <v>399</v>
      </c>
      <c r="E136" s="116" t="s">
        <v>424</v>
      </c>
      <c r="F136" s="116">
        <v>40</v>
      </c>
      <c r="G136" s="117">
        <v>9867.89</v>
      </c>
      <c r="H136" s="116">
        <v>0</v>
      </c>
      <c r="I136" s="116" t="s">
        <v>322</v>
      </c>
      <c r="J136" s="117">
        <v>0</v>
      </c>
      <c r="K136" s="117">
        <v>0</v>
      </c>
      <c r="L136" s="117">
        <v>0</v>
      </c>
      <c r="M136" s="117">
        <v>0</v>
      </c>
      <c r="N136" s="117">
        <v>0</v>
      </c>
      <c r="O136" s="117">
        <v>3074.18</v>
      </c>
      <c r="P136" s="109">
        <v>1402.62</v>
      </c>
      <c r="Q136" s="109">
        <v>1359.82</v>
      </c>
      <c r="R136" s="109">
        <v>10179.629999999999</v>
      </c>
    </row>
    <row r="137" spans="1:18" x14ac:dyDescent="0.3">
      <c r="A137" s="116" t="s">
        <v>371</v>
      </c>
      <c r="B137" s="116" t="s">
        <v>322</v>
      </c>
      <c r="C137" s="116" t="s">
        <v>350</v>
      </c>
      <c r="D137" s="116" t="s">
        <v>399</v>
      </c>
      <c r="E137" s="116" t="s">
        <v>425</v>
      </c>
      <c r="F137" s="116">
        <v>40</v>
      </c>
      <c r="G137" s="117">
        <v>13623.42</v>
      </c>
      <c r="H137" s="116">
        <v>0</v>
      </c>
      <c r="I137" s="116" t="s">
        <v>322</v>
      </c>
      <c r="J137" s="117">
        <v>0</v>
      </c>
      <c r="K137" s="117">
        <v>0</v>
      </c>
      <c r="L137" s="117">
        <v>0</v>
      </c>
      <c r="M137" s="117">
        <v>0</v>
      </c>
      <c r="N137" s="117">
        <v>0</v>
      </c>
      <c r="O137" s="117">
        <v>3366.96</v>
      </c>
      <c r="P137" s="109">
        <v>2394.0500000000002</v>
      </c>
      <c r="Q137" s="109">
        <v>1510.15</v>
      </c>
      <c r="R137" s="109">
        <v>13086.18</v>
      </c>
    </row>
    <row r="138" spans="1:18" x14ac:dyDescent="0.3">
      <c r="A138" s="116" t="s">
        <v>371</v>
      </c>
      <c r="B138" s="116" t="s">
        <v>322</v>
      </c>
      <c r="C138" s="116"/>
      <c r="D138" s="116" t="s">
        <v>399</v>
      </c>
      <c r="E138" s="116" t="s">
        <v>426</v>
      </c>
      <c r="F138" s="116">
        <v>40</v>
      </c>
      <c r="G138" s="117">
        <v>11187.81</v>
      </c>
      <c r="H138" s="116">
        <v>0</v>
      </c>
      <c r="I138" s="116" t="s">
        <v>322</v>
      </c>
      <c r="J138" s="117">
        <v>0</v>
      </c>
      <c r="K138" s="117">
        <v>0</v>
      </c>
      <c r="L138" s="117">
        <v>0</v>
      </c>
      <c r="M138" s="117">
        <v>0</v>
      </c>
      <c r="N138" s="117">
        <v>0</v>
      </c>
      <c r="O138" s="117">
        <v>1610.28</v>
      </c>
      <c r="P138" s="109">
        <v>1748.96</v>
      </c>
      <c r="Q138" s="109">
        <v>1420.32</v>
      </c>
      <c r="R138" s="109">
        <v>9628.81</v>
      </c>
    </row>
    <row r="139" spans="1:18" x14ac:dyDescent="0.3">
      <c r="A139" s="116" t="s">
        <v>371</v>
      </c>
      <c r="B139" s="116" t="s">
        <v>322</v>
      </c>
      <c r="C139" s="116"/>
      <c r="D139" s="116" t="s">
        <v>399</v>
      </c>
      <c r="E139" s="116" t="s">
        <v>427</v>
      </c>
      <c r="F139" s="116">
        <v>40</v>
      </c>
      <c r="G139" s="117">
        <v>11747.59</v>
      </c>
      <c r="H139" s="116">
        <v>0</v>
      </c>
      <c r="I139" s="116" t="s">
        <v>322</v>
      </c>
      <c r="J139" s="117">
        <v>0</v>
      </c>
      <c r="K139" s="117">
        <v>0</v>
      </c>
      <c r="L139" s="117">
        <v>0</v>
      </c>
      <c r="M139" s="117">
        <v>0</v>
      </c>
      <c r="N139" s="117">
        <v>0</v>
      </c>
      <c r="O139" s="117">
        <v>3220.58</v>
      </c>
      <c r="P139" s="109">
        <v>2075.5300000000002</v>
      </c>
      <c r="Q139" s="109">
        <v>1463.08</v>
      </c>
      <c r="R139" s="109">
        <v>11429.56</v>
      </c>
    </row>
    <row r="140" spans="1:18" x14ac:dyDescent="0.3">
      <c r="A140" s="116" t="s">
        <v>371</v>
      </c>
      <c r="B140" s="116" t="s">
        <v>322</v>
      </c>
      <c r="C140" s="116"/>
      <c r="D140" s="116" t="s">
        <v>399</v>
      </c>
      <c r="E140" s="116" t="s">
        <v>428</v>
      </c>
      <c r="F140" s="116">
        <v>40</v>
      </c>
      <c r="G140" s="117">
        <v>8456.3700000000008</v>
      </c>
      <c r="H140" s="116">
        <v>0</v>
      </c>
      <c r="I140" s="116" t="s">
        <v>322</v>
      </c>
      <c r="J140" s="117">
        <v>0</v>
      </c>
      <c r="K140" s="117">
        <v>0</v>
      </c>
      <c r="L140" s="117">
        <v>0</v>
      </c>
      <c r="M140" s="117">
        <v>0</v>
      </c>
      <c r="N140" s="117">
        <v>0</v>
      </c>
      <c r="O140" s="117">
        <v>3366.96</v>
      </c>
      <c r="P140" s="109">
        <v>1162.79</v>
      </c>
      <c r="Q140" s="109">
        <v>1010</v>
      </c>
      <c r="R140" s="109">
        <v>9650.5400000000009</v>
      </c>
    </row>
    <row r="141" spans="1:18" x14ac:dyDescent="0.3">
      <c r="A141" s="116" t="s">
        <v>371</v>
      </c>
      <c r="B141" s="116" t="s">
        <v>322</v>
      </c>
      <c r="C141" s="116"/>
      <c r="D141" s="116" t="s">
        <v>399</v>
      </c>
      <c r="E141" s="116" t="s">
        <v>429</v>
      </c>
      <c r="F141" s="116">
        <v>40</v>
      </c>
      <c r="G141" s="117">
        <v>10247.89</v>
      </c>
      <c r="H141" s="116">
        <v>0</v>
      </c>
      <c r="I141" s="116" t="s">
        <v>322</v>
      </c>
      <c r="J141" s="117">
        <v>0</v>
      </c>
      <c r="K141" s="117">
        <v>0</v>
      </c>
      <c r="L141" s="117">
        <v>0</v>
      </c>
      <c r="M141" s="117">
        <v>0</v>
      </c>
      <c r="N141" s="117">
        <v>0</v>
      </c>
      <c r="O141" s="117">
        <v>3366.96</v>
      </c>
      <c r="P141" s="109">
        <v>1617.63</v>
      </c>
      <c r="Q141" s="109">
        <v>768.39</v>
      </c>
      <c r="R141" s="109">
        <v>11228.83</v>
      </c>
    </row>
    <row r="142" spans="1:18" x14ac:dyDescent="0.3">
      <c r="A142" s="116" t="s">
        <v>371</v>
      </c>
      <c r="B142" s="116" t="s">
        <v>322</v>
      </c>
      <c r="C142" s="116"/>
      <c r="D142" s="116" t="s">
        <v>399</v>
      </c>
      <c r="E142" s="116" t="s">
        <v>430</v>
      </c>
      <c r="F142" s="116">
        <v>40</v>
      </c>
      <c r="G142" s="117">
        <v>11197.04</v>
      </c>
      <c r="H142" s="116">
        <v>0</v>
      </c>
      <c r="I142" s="116" t="s">
        <v>322</v>
      </c>
      <c r="J142" s="117">
        <v>0</v>
      </c>
      <c r="K142" s="117">
        <v>0</v>
      </c>
      <c r="L142" s="117">
        <v>0</v>
      </c>
      <c r="M142" s="117">
        <v>0</v>
      </c>
      <c r="N142" s="117">
        <v>0</v>
      </c>
      <c r="O142" s="117">
        <v>3366.96</v>
      </c>
      <c r="P142" s="109">
        <v>1930.48</v>
      </c>
      <c r="Q142" s="109">
        <v>769.5</v>
      </c>
      <c r="R142" s="109">
        <v>11864.02</v>
      </c>
    </row>
    <row r="143" spans="1:18" x14ac:dyDescent="0.3">
      <c r="A143" s="116" t="s">
        <v>371</v>
      </c>
      <c r="B143" s="116" t="s">
        <v>322</v>
      </c>
      <c r="C143" s="116"/>
      <c r="D143" s="116" t="s">
        <v>399</v>
      </c>
      <c r="E143" s="116" t="s">
        <v>431</v>
      </c>
      <c r="F143" s="116">
        <v>40</v>
      </c>
      <c r="G143" s="117">
        <v>17393.080000000002</v>
      </c>
      <c r="H143" s="116">
        <v>0</v>
      </c>
      <c r="I143" s="116" t="s">
        <v>322</v>
      </c>
      <c r="J143" s="117">
        <v>0</v>
      </c>
      <c r="K143" s="117">
        <v>0</v>
      </c>
      <c r="L143" s="117">
        <v>0</v>
      </c>
      <c r="M143" s="117">
        <v>0</v>
      </c>
      <c r="N143" s="117">
        <v>0</v>
      </c>
      <c r="O143" s="117">
        <v>2049.4499999999998</v>
      </c>
      <c r="P143" s="109">
        <v>3453.23</v>
      </c>
      <c r="Q143" s="109">
        <v>1617.83</v>
      </c>
      <c r="R143" s="109">
        <v>14371.47</v>
      </c>
    </row>
    <row r="144" spans="1:18" x14ac:dyDescent="0.3">
      <c r="A144" s="116" t="s">
        <v>371</v>
      </c>
      <c r="B144" s="116" t="s">
        <v>322</v>
      </c>
      <c r="C144" s="116"/>
      <c r="D144" s="116" t="s">
        <v>399</v>
      </c>
      <c r="E144" s="116" t="s">
        <v>432</v>
      </c>
      <c r="F144" s="116">
        <v>40</v>
      </c>
      <c r="G144" s="117">
        <v>4717.25</v>
      </c>
      <c r="H144" s="116">
        <v>0</v>
      </c>
      <c r="I144" s="116" t="s">
        <v>322</v>
      </c>
      <c r="J144" s="117">
        <v>0</v>
      </c>
      <c r="K144" s="117">
        <v>0</v>
      </c>
      <c r="L144" s="117">
        <v>0</v>
      </c>
      <c r="M144" s="117">
        <v>0</v>
      </c>
      <c r="N144" s="117">
        <v>0</v>
      </c>
      <c r="O144" s="117">
        <v>1483.15</v>
      </c>
      <c r="P144" s="109">
        <v>214.91</v>
      </c>
      <c r="Q144" s="109">
        <v>486.35</v>
      </c>
      <c r="R144" s="109">
        <v>5499.14</v>
      </c>
    </row>
    <row r="145" spans="1:18" x14ac:dyDescent="0.3">
      <c r="A145" s="116" t="s">
        <v>371</v>
      </c>
      <c r="B145" s="116" t="s">
        <v>322</v>
      </c>
      <c r="C145" s="116"/>
      <c r="D145" s="116" t="s">
        <v>399</v>
      </c>
      <c r="E145" s="116" t="s">
        <v>433</v>
      </c>
      <c r="F145" s="116">
        <v>40</v>
      </c>
      <c r="G145" s="117">
        <v>10963.81</v>
      </c>
      <c r="H145" s="116">
        <v>0</v>
      </c>
      <c r="I145" s="116" t="s">
        <v>322</v>
      </c>
      <c r="J145" s="117">
        <v>0</v>
      </c>
      <c r="K145" s="117">
        <v>0</v>
      </c>
      <c r="L145" s="117">
        <v>0</v>
      </c>
      <c r="M145" s="117">
        <v>0</v>
      </c>
      <c r="N145" s="117">
        <v>0</v>
      </c>
      <c r="O145" s="117">
        <v>3220.57</v>
      </c>
      <c r="P145" s="109">
        <v>1905.74</v>
      </c>
      <c r="Q145" s="109">
        <v>789.43</v>
      </c>
      <c r="R145" s="109">
        <v>11489.21</v>
      </c>
    </row>
    <row r="146" spans="1:18" x14ac:dyDescent="0.3">
      <c r="A146" s="116" t="s">
        <v>371</v>
      </c>
      <c r="B146" s="116" t="s">
        <v>322</v>
      </c>
      <c r="C146" s="116" t="s">
        <v>382</v>
      </c>
      <c r="D146" s="116" t="s">
        <v>399</v>
      </c>
      <c r="E146" s="116" t="s">
        <v>434</v>
      </c>
      <c r="F146" s="116">
        <v>40</v>
      </c>
      <c r="G146" s="117">
        <v>11978.33</v>
      </c>
      <c r="H146" s="116">
        <v>0</v>
      </c>
      <c r="I146" s="116" t="s">
        <v>322</v>
      </c>
      <c r="J146" s="117">
        <v>0</v>
      </c>
      <c r="K146" s="117">
        <v>0</v>
      </c>
      <c r="L146" s="117">
        <v>0</v>
      </c>
      <c r="M146" s="117">
        <v>0</v>
      </c>
      <c r="N146" s="117">
        <v>0</v>
      </c>
      <c r="O146" s="117">
        <v>1756.67</v>
      </c>
      <c r="P146" s="109">
        <v>1920.93</v>
      </c>
      <c r="Q146" s="109">
        <v>1585.49</v>
      </c>
      <c r="R146" s="109">
        <v>10228.58</v>
      </c>
    </row>
    <row r="147" spans="1:18" x14ac:dyDescent="0.3">
      <c r="A147" s="116" t="s">
        <v>371</v>
      </c>
      <c r="B147" s="116" t="s">
        <v>322</v>
      </c>
      <c r="C147" s="116" t="s">
        <v>406</v>
      </c>
      <c r="D147" s="116" t="s">
        <v>399</v>
      </c>
      <c r="E147" s="116" t="s">
        <v>435</v>
      </c>
      <c r="F147" s="116">
        <v>40</v>
      </c>
      <c r="G147" s="117">
        <v>9670.7099999999991</v>
      </c>
      <c r="H147" s="116">
        <v>0</v>
      </c>
      <c r="I147" s="116" t="s">
        <v>322</v>
      </c>
      <c r="J147" s="117">
        <v>0</v>
      </c>
      <c r="K147" s="117">
        <v>0</v>
      </c>
      <c r="L147" s="117">
        <v>0</v>
      </c>
      <c r="M147" s="117">
        <v>0</v>
      </c>
      <c r="N147" s="117">
        <v>0</v>
      </c>
      <c r="O147" s="117">
        <v>3366.96</v>
      </c>
      <c r="P147" s="109">
        <v>1496.11</v>
      </c>
      <c r="Q147" s="109">
        <v>1012.29</v>
      </c>
      <c r="R147" s="109">
        <v>10529.27</v>
      </c>
    </row>
    <row r="148" spans="1:18" x14ac:dyDescent="0.3">
      <c r="A148" s="116" t="s">
        <v>371</v>
      </c>
      <c r="B148" s="116" t="s">
        <v>322</v>
      </c>
      <c r="C148" s="116"/>
      <c r="D148" s="116" t="s">
        <v>399</v>
      </c>
      <c r="E148" s="116" t="s">
        <v>436</v>
      </c>
      <c r="F148" s="116">
        <v>40</v>
      </c>
      <c r="G148" s="117">
        <v>17335.490000000002</v>
      </c>
      <c r="H148" s="116">
        <v>0</v>
      </c>
      <c r="I148" s="116" t="s">
        <v>322</v>
      </c>
      <c r="J148" s="117">
        <v>0</v>
      </c>
      <c r="K148" s="117">
        <v>0</v>
      </c>
      <c r="L148" s="117">
        <v>0</v>
      </c>
      <c r="M148" s="117">
        <v>0</v>
      </c>
      <c r="N148" s="117">
        <v>0</v>
      </c>
      <c r="O148" s="117">
        <v>2635.02</v>
      </c>
      <c r="P148" s="109">
        <v>3179.77</v>
      </c>
      <c r="Q148" s="109">
        <v>2554.64</v>
      </c>
      <c r="R148" s="109">
        <v>14236.1</v>
      </c>
    </row>
    <row r="149" spans="1:18" x14ac:dyDescent="0.3">
      <c r="A149" s="116" t="s">
        <v>371</v>
      </c>
      <c r="B149" s="116" t="s">
        <v>322</v>
      </c>
      <c r="C149" s="116"/>
      <c r="D149" s="116" t="s">
        <v>399</v>
      </c>
      <c r="E149" s="116" t="s">
        <v>437</v>
      </c>
      <c r="F149" s="116">
        <v>40</v>
      </c>
      <c r="G149" s="117">
        <v>7685.96</v>
      </c>
      <c r="H149" s="116">
        <v>0</v>
      </c>
      <c r="I149" s="116" t="s">
        <v>322</v>
      </c>
      <c r="J149" s="117">
        <v>0</v>
      </c>
      <c r="K149" s="117">
        <v>0</v>
      </c>
      <c r="L149" s="117">
        <v>0</v>
      </c>
      <c r="M149" s="117">
        <v>0</v>
      </c>
      <c r="N149" s="117">
        <v>0</v>
      </c>
      <c r="O149" s="117">
        <v>1756.67</v>
      </c>
      <c r="P149" s="109">
        <v>984.01</v>
      </c>
      <c r="Q149" s="109">
        <v>889.72</v>
      </c>
      <c r="R149" s="109">
        <v>7568.9</v>
      </c>
    </row>
    <row r="150" spans="1:18" x14ac:dyDescent="0.3">
      <c r="A150" s="116" t="s">
        <v>371</v>
      </c>
      <c r="B150" s="116" t="s">
        <v>322</v>
      </c>
      <c r="C150" s="116"/>
      <c r="D150" s="116" t="s">
        <v>399</v>
      </c>
      <c r="E150" s="116" t="s">
        <v>438</v>
      </c>
      <c r="F150" s="116">
        <v>40</v>
      </c>
      <c r="G150" s="117">
        <v>10125.9</v>
      </c>
      <c r="H150" s="116">
        <v>0</v>
      </c>
      <c r="I150" s="116" t="s">
        <v>322</v>
      </c>
      <c r="J150" s="117">
        <v>0</v>
      </c>
      <c r="K150" s="117">
        <v>0</v>
      </c>
      <c r="L150" s="117">
        <v>0</v>
      </c>
      <c r="M150" s="117">
        <v>0</v>
      </c>
      <c r="N150" s="117">
        <v>0</v>
      </c>
      <c r="O150" s="117">
        <v>3220.57</v>
      </c>
      <c r="P150" s="109">
        <v>1554.59</v>
      </c>
      <c r="Q150" s="109">
        <v>1254.8</v>
      </c>
      <c r="R150" s="109">
        <v>10537.08</v>
      </c>
    </row>
    <row r="151" spans="1:18" x14ac:dyDescent="0.3">
      <c r="A151" s="116" t="s">
        <v>371</v>
      </c>
      <c r="B151" s="116" t="s">
        <v>322</v>
      </c>
      <c r="C151" s="116" t="s">
        <v>375</v>
      </c>
      <c r="D151" s="116" t="s">
        <v>399</v>
      </c>
      <c r="E151" s="116" t="s">
        <v>439</v>
      </c>
      <c r="F151" s="116">
        <v>40</v>
      </c>
      <c r="G151" s="117">
        <v>12796.16</v>
      </c>
      <c r="H151" s="116">
        <v>0</v>
      </c>
      <c r="I151" s="116" t="s">
        <v>322</v>
      </c>
      <c r="J151" s="117">
        <v>0</v>
      </c>
      <c r="K151" s="117">
        <v>0</v>
      </c>
      <c r="L151" s="117">
        <v>0</v>
      </c>
      <c r="M151" s="117">
        <v>0</v>
      </c>
      <c r="N151" s="117">
        <v>0</v>
      </c>
      <c r="O151" s="117">
        <v>1463.9</v>
      </c>
      <c r="P151" s="109">
        <v>2272.7600000000002</v>
      </c>
      <c r="Q151" s="109">
        <v>1123.96</v>
      </c>
      <c r="R151" s="109">
        <v>10863.34</v>
      </c>
    </row>
    <row r="152" spans="1:18" x14ac:dyDescent="0.3">
      <c r="A152" s="116" t="s">
        <v>371</v>
      </c>
      <c r="B152" s="116" t="s">
        <v>322</v>
      </c>
      <c r="C152" s="116"/>
      <c r="D152" s="116" t="s">
        <v>399</v>
      </c>
      <c r="E152" s="116" t="s">
        <v>408</v>
      </c>
      <c r="F152" s="116">
        <v>40</v>
      </c>
      <c r="G152" s="117">
        <v>10121.469999999999</v>
      </c>
      <c r="H152" s="116">
        <v>0</v>
      </c>
      <c r="I152" s="116" t="s">
        <v>322</v>
      </c>
      <c r="J152" s="117">
        <v>0</v>
      </c>
      <c r="K152" s="117">
        <v>0</v>
      </c>
      <c r="L152" s="117">
        <v>0</v>
      </c>
      <c r="M152" s="117">
        <v>0</v>
      </c>
      <c r="N152" s="117">
        <v>0</v>
      </c>
      <c r="O152" s="117">
        <v>1903.06</v>
      </c>
      <c r="P152" s="109">
        <v>1609.32</v>
      </c>
      <c r="Q152" s="109">
        <v>672.2</v>
      </c>
      <c r="R152" s="109">
        <v>9743.01</v>
      </c>
    </row>
    <row r="153" spans="1:18" x14ac:dyDescent="0.3">
      <c r="A153" s="116" t="s">
        <v>371</v>
      </c>
      <c r="B153" s="116" t="s">
        <v>322</v>
      </c>
      <c r="C153" s="116"/>
      <c r="D153" s="116" t="s">
        <v>399</v>
      </c>
      <c r="E153" s="116" t="s">
        <v>415</v>
      </c>
      <c r="F153" s="116">
        <v>40</v>
      </c>
      <c r="G153" s="117">
        <v>7676.79</v>
      </c>
      <c r="H153" s="116">
        <v>0</v>
      </c>
      <c r="I153" s="116" t="s">
        <v>322</v>
      </c>
      <c r="J153" s="117">
        <v>0</v>
      </c>
      <c r="K153" s="117">
        <v>0</v>
      </c>
      <c r="L153" s="117">
        <v>0</v>
      </c>
      <c r="M153" s="117">
        <v>0</v>
      </c>
      <c r="N153" s="117">
        <v>0</v>
      </c>
      <c r="O153" s="117">
        <v>3366.96</v>
      </c>
      <c r="P153" s="109">
        <v>948.61</v>
      </c>
      <c r="Q153" s="109">
        <v>1009.25</v>
      </c>
      <c r="R153" s="109">
        <v>9085.89</v>
      </c>
    </row>
    <row r="154" spans="1:18" x14ac:dyDescent="0.3">
      <c r="A154" s="116" t="s">
        <v>371</v>
      </c>
      <c r="B154" s="116" t="s">
        <v>322</v>
      </c>
      <c r="C154" s="116"/>
      <c r="D154" s="116" t="s">
        <v>399</v>
      </c>
      <c r="E154" s="116" t="s">
        <v>422</v>
      </c>
      <c r="F154" s="116">
        <v>40</v>
      </c>
      <c r="G154" s="117">
        <v>10724.5</v>
      </c>
      <c r="H154" s="116">
        <v>0</v>
      </c>
      <c r="I154" s="116" t="s">
        <v>322</v>
      </c>
      <c r="J154" s="117">
        <v>0</v>
      </c>
      <c r="K154" s="117">
        <v>0</v>
      </c>
      <c r="L154" s="117">
        <v>0</v>
      </c>
      <c r="M154" s="117">
        <v>0</v>
      </c>
      <c r="N154" s="117">
        <v>0</v>
      </c>
      <c r="O154" s="117">
        <v>3220.57</v>
      </c>
      <c r="P154" s="109">
        <v>1855.89</v>
      </c>
      <c r="Q154" s="109">
        <v>757.77</v>
      </c>
      <c r="R154" s="109">
        <v>11331.41</v>
      </c>
    </row>
    <row r="155" spans="1:18" x14ac:dyDescent="0.3">
      <c r="A155" s="116" t="s">
        <v>371</v>
      </c>
      <c r="B155" s="116" t="s">
        <v>322</v>
      </c>
      <c r="C155" s="116"/>
      <c r="D155" s="116" t="s">
        <v>399</v>
      </c>
      <c r="E155" s="116" t="s">
        <v>440</v>
      </c>
      <c r="F155" s="116">
        <v>40</v>
      </c>
      <c r="G155" s="117">
        <v>7908.73</v>
      </c>
      <c r="H155" s="116">
        <v>0</v>
      </c>
      <c r="I155" s="116" t="s">
        <v>322</v>
      </c>
      <c r="J155" s="117">
        <v>0</v>
      </c>
      <c r="K155" s="117">
        <v>0</v>
      </c>
      <c r="L155" s="117">
        <v>0</v>
      </c>
      <c r="M155" s="117">
        <v>0</v>
      </c>
      <c r="N155" s="117">
        <v>0</v>
      </c>
      <c r="O155" s="117">
        <v>1961.38</v>
      </c>
      <c r="P155" s="109">
        <v>857.2</v>
      </c>
      <c r="Q155" s="109">
        <v>1046.3599999999999</v>
      </c>
      <c r="R155" s="109">
        <v>7966.55</v>
      </c>
    </row>
    <row r="156" spans="1:18" x14ac:dyDescent="0.3">
      <c r="A156" s="116" t="s">
        <v>371</v>
      </c>
      <c r="B156" s="116" t="s">
        <v>322</v>
      </c>
      <c r="C156" s="116"/>
      <c r="D156" s="116" t="s">
        <v>399</v>
      </c>
      <c r="E156" s="116" t="s">
        <v>441</v>
      </c>
      <c r="F156" s="116">
        <v>40</v>
      </c>
      <c r="G156" s="117">
        <v>10163.700000000001</v>
      </c>
      <c r="H156" s="116">
        <v>0</v>
      </c>
      <c r="I156" s="116" t="s">
        <v>322</v>
      </c>
      <c r="J156" s="117">
        <v>0</v>
      </c>
      <c r="K156" s="117">
        <v>0</v>
      </c>
      <c r="L156" s="117">
        <v>0</v>
      </c>
      <c r="M156" s="117">
        <v>0</v>
      </c>
      <c r="N156" s="117">
        <v>0</v>
      </c>
      <c r="O156" s="117">
        <v>1860.71</v>
      </c>
      <c r="P156" s="109">
        <v>1511.44</v>
      </c>
      <c r="Q156" s="109">
        <v>1407.15</v>
      </c>
      <c r="R156" s="109">
        <v>9105.82</v>
      </c>
    </row>
    <row r="157" spans="1:18" x14ac:dyDescent="0.3">
      <c r="A157" s="116" t="s">
        <v>371</v>
      </c>
      <c r="B157" s="116" t="s">
        <v>322</v>
      </c>
      <c r="C157" s="116"/>
      <c r="D157" s="116" t="s">
        <v>399</v>
      </c>
      <c r="E157" s="116" t="s">
        <v>435</v>
      </c>
      <c r="F157" s="116">
        <v>40</v>
      </c>
      <c r="G157" s="117">
        <v>9421.9599999999991</v>
      </c>
      <c r="H157" s="116">
        <v>0</v>
      </c>
      <c r="I157" s="116" t="s">
        <v>322</v>
      </c>
      <c r="J157" s="117">
        <v>0</v>
      </c>
      <c r="K157" s="117">
        <v>0</v>
      </c>
      <c r="L157" s="117">
        <v>0</v>
      </c>
      <c r="M157" s="117">
        <v>0</v>
      </c>
      <c r="N157" s="117">
        <v>0</v>
      </c>
      <c r="O157" s="117">
        <v>3366.96</v>
      </c>
      <c r="P157" s="109">
        <v>988.75</v>
      </c>
      <c r="Q157" s="109">
        <v>1288.47</v>
      </c>
      <c r="R157" s="109">
        <v>10511.7</v>
      </c>
    </row>
    <row r="158" spans="1:18" x14ac:dyDescent="0.3">
      <c r="A158" s="116" t="s">
        <v>371</v>
      </c>
      <c r="B158" s="116" t="s">
        <v>390</v>
      </c>
      <c r="C158" s="116"/>
      <c r="D158" s="116" t="s">
        <v>399</v>
      </c>
      <c r="E158" s="116" t="s">
        <v>442</v>
      </c>
      <c r="F158" s="116">
        <v>40</v>
      </c>
      <c r="G158" s="117">
        <v>18473.23</v>
      </c>
      <c r="H158" s="116">
        <v>0</v>
      </c>
      <c r="I158" s="116" t="s">
        <v>322</v>
      </c>
      <c r="J158" s="117">
        <v>0</v>
      </c>
      <c r="K158" s="117">
        <v>0</v>
      </c>
      <c r="L158" s="117">
        <v>0</v>
      </c>
      <c r="M158" s="117">
        <v>0</v>
      </c>
      <c r="N158" s="117">
        <v>0</v>
      </c>
      <c r="O158" s="117">
        <v>3366.96</v>
      </c>
      <c r="P158" s="109">
        <v>3390.45</v>
      </c>
      <c r="Q158" s="109">
        <v>2736.68</v>
      </c>
      <c r="R158" s="109">
        <v>15713.06</v>
      </c>
    </row>
    <row r="159" spans="1:18" x14ac:dyDescent="0.3">
      <c r="A159" s="116" t="s">
        <v>371</v>
      </c>
      <c r="B159" s="116" t="s">
        <v>322</v>
      </c>
      <c r="C159" s="116"/>
      <c r="D159" s="116" t="s">
        <v>399</v>
      </c>
      <c r="E159" s="116" t="s">
        <v>443</v>
      </c>
      <c r="F159" s="116">
        <v>40</v>
      </c>
      <c r="G159" s="117">
        <v>10262.59</v>
      </c>
      <c r="H159" s="116">
        <v>0</v>
      </c>
      <c r="I159" s="116" t="s">
        <v>322</v>
      </c>
      <c r="J159" s="117">
        <v>0</v>
      </c>
      <c r="K159" s="117">
        <v>0</v>
      </c>
      <c r="L159" s="117">
        <v>0</v>
      </c>
      <c r="M159" s="117">
        <v>0</v>
      </c>
      <c r="N159" s="117">
        <v>0</v>
      </c>
      <c r="O159" s="117">
        <v>1610.29</v>
      </c>
      <c r="P159" s="109">
        <v>1545.93</v>
      </c>
      <c r="Q159" s="109">
        <v>1422.97</v>
      </c>
      <c r="R159" s="109">
        <v>8903.98</v>
      </c>
    </row>
    <row r="160" spans="1:18" x14ac:dyDescent="0.3">
      <c r="A160" s="116" t="s">
        <v>371</v>
      </c>
      <c r="B160" s="116" t="s">
        <v>322</v>
      </c>
      <c r="C160" s="116" t="s">
        <v>382</v>
      </c>
      <c r="D160" s="116" t="s">
        <v>399</v>
      </c>
      <c r="E160" s="116" t="s">
        <v>444</v>
      </c>
      <c r="F160" s="116">
        <v>40</v>
      </c>
      <c r="G160" s="117">
        <v>11505.31</v>
      </c>
      <c r="H160" s="116">
        <v>0</v>
      </c>
      <c r="I160" s="116" t="s">
        <v>322</v>
      </c>
      <c r="J160" s="117">
        <v>0</v>
      </c>
      <c r="K160" s="117">
        <v>0</v>
      </c>
      <c r="L160" s="117">
        <v>0</v>
      </c>
      <c r="M160" s="117">
        <v>0</v>
      </c>
      <c r="N160" s="117">
        <v>0</v>
      </c>
      <c r="O160" s="117">
        <v>2927.79</v>
      </c>
      <c r="P160" s="109">
        <v>1800.97</v>
      </c>
      <c r="Q160" s="109">
        <v>1731.17</v>
      </c>
      <c r="R160" s="109">
        <v>10900.96</v>
      </c>
    </row>
    <row r="161" spans="1:18" x14ac:dyDescent="0.3">
      <c r="A161" s="116" t="s">
        <v>371</v>
      </c>
      <c r="B161" s="116" t="s">
        <v>322</v>
      </c>
      <c r="C161" s="116" t="s">
        <v>350</v>
      </c>
      <c r="D161" s="116" t="s">
        <v>399</v>
      </c>
      <c r="E161" s="116" t="s">
        <v>445</v>
      </c>
      <c r="F161" s="116">
        <v>40</v>
      </c>
      <c r="G161" s="117">
        <v>12673.75</v>
      </c>
      <c r="H161" s="116">
        <v>0</v>
      </c>
      <c r="I161" s="116" t="s">
        <v>322</v>
      </c>
      <c r="J161" s="117">
        <v>0</v>
      </c>
      <c r="K161" s="117">
        <v>0</v>
      </c>
      <c r="L161" s="117">
        <v>0</v>
      </c>
      <c r="M161" s="117">
        <v>0</v>
      </c>
      <c r="N161" s="117">
        <v>0</v>
      </c>
      <c r="O161" s="117">
        <v>3366.96</v>
      </c>
      <c r="P161" s="109">
        <v>2226.8200000000002</v>
      </c>
      <c r="Q161" s="109">
        <v>1358.2</v>
      </c>
      <c r="R161" s="109">
        <v>12455.69</v>
      </c>
    </row>
    <row r="162" spans="1:18" x14ac:dyDescent="0.3">
      <c r="A162" s="116" t="s">
        <v>371</v>
      </c>
      <c r="B162" s="116" t="s">
        <v>322</v>
      </c>
      <c r="C162" s="116"/>
      <c r="D162" s="116" t="s">
        <v>399</v>
      </c>
      <c r="E162" s="116" t="s">
        <v>446</v>
      </c>
      <c r="F162" s="116">
        <v>40</v>
      </c>
      <c r="G162" s="117">
        <v>9839.9599999999991</v>
      </c>
      <c r="H162" s="116">
        <v>0</v>
      </c>
      <c r="I162" s="116" t="s">
        <v>322</v>
      </c>
      <c r="J162" s="117">
        <v>0</v>
      </c>
      <c r="K162" s="117">
        <v>0</v>
      </c>
      <c r="L162" s="117">
        <v>0</v>
      </c>
      <c r="M162" s="117">
        <v>0</v>
      </c>
      <c r="N162" s="117">
        <v>0</v>
      </c>
      <c r="O162" s="117">
        <v>2635.01</v>
      </c>
      <c r="P162" s="109">
        <v>1448.31</v>
      </c>
      <c r="Q162" s="109">
        <v>1355.35</v>
      </c>
      <c r="R162" s="109">
        <v>9671.31</v>
      </c>
    </row>
    <row r="163" spans="1:18" x14ac:dyDescent="0.3">
      <c r="A163" s="116" t="s">
        <v>371</v>
      </c>
      <c r="B163" s="116" t="s">
        <v>322</v>
      </c>
      <c r="C163" s="116"/>
      <c r="D163" s="116" t="s">
        <v>399</v>
      </c>
      <c r="E163" s="116" t="s">
        <v>402</v>
      </c>
      <c r="F163" s="116">
        <v>40</v>
      </c>
      <c r="G163" s="117">
        <v>4717.25</v>
      </c>
      <c r="H163" s="116">
        <v>0</v>
      </c>
      <c r="I163" s="116" t="s">
        <v>322</v>
      </c>
      <c r="J163" s="117">
        <v>0</v>
      </c>
      <c r="K163" s="117">
        <v>0</v>
      </c>
      <c r="L163" s="117">
        <v>0</v>
      </c>
      <c r="M163" s="117">
        <v>0</v>
      </c>
      <c r="N163" s="117">
        <v>0</v>
      </c>
      <c r="O163" s="117">
        <v>1504.75</v>
      </c>
      <c r="P163" s="109">
        <v>290.85000000000002</v>
      </c>
      <c r="Q163" s="109">
        <v>486.35</v>
      </c>
      <c r="R163" s="109">
        <v>5444.8</v>
      </c>
    </row>
    <row r="164" spans="1:18" x14ac:dyDescent="0.3">
      <c r="A164" s="116" t="s">
        <v>371</v>
      </c>
      <c r="B164" s="116" t="s">
        <v>322</v>
      </c>
      <c r="C164" s="116"/>
      <c r="D164" s="116" t="s">
        <v>399</v>
      </c>
      <c r="E164" s="116" t="s">
        <v>409</v>
      </c>
      <c r="F164" s="116">
        <v>40</v>
      </c>
      <c r="G164" s="117">
        <v>7686.48</v>
      </c>
      <c r="H164" s="116">
        <v>0</v>
      </c>
      <c r="I164" s="116" t="s">
        <v>322</v>
      </c>
      <c r="J164" s="117">
        <v>0</v>
      </c>
      <c r="K164" s="117">
        <v>0</v>
      </c>
      <c r="L164" s="117">
        <v>0</v>
      </c>
      <c r="M164" s="117">
        <v>0</v>
      </c>
      <c r="N164" s="117">
        <v>0</v>
      </c>
      <c r="O164" s="117">
        <v>1756.67</v>
      </c>
      <c r="P164" s="109">
        <v>950.85</v>
      </c>
      <c r="Q164" s="109">
        <v>1010.8</v>
      </c>
      <c r="R164" s="109">
        <v>7481.5</v>
      </c>
    </row>
    <row r="165" spans="1:18" x14ac:dyDescent="0.3">
      <c r="A165" s="116" t="s">
        <v>371</v>
      </c>
      <c r="B165" s="116" t="s">
        <v>322</v>
      </c>
      <c r="C165" s="116" t="s">
        <v>447</v>
      </c>
      <c r="D165" s="116" t="s">
        <v>399</v>
      </c>
      <c r="E165" s="116" t="s">
        <v>448</v>
      </c>
      <c r="F165" s="116">
        <v>40</v>
      </c>
      <c r="G165" s="117">
        <v>15108.39</v>
      </c>
      <c r="H165" s="116">
        <v>0</v>
      </c>
      <c r="I165" s="116" t="s">
        <v>322</v>
      </c>
      <c r="J165" s="117">
        <v>0</v>
      </c>
      <c r="K165" s="117">
        <v>0</v>
      </c>
      <c r="L165" s="117">
        <v>0</v>
      </c>
      <c r="M165" s="117">
        <v>0</v>
      </c>
      <c r="N165" s="117">
        <v>0</v>
      </c>
      <c r="O165" s="117">
        <v>2927.8</v>
      </c>
      <c r="P165" s="109">
        <v>2775.9</v>
      </c>
      <c r="Q165" s="109">
        <v>1796.17</v>
      </c>
      <c r="R165" s="109">
        <v>13464.12</v>
      </c>
    </row>
    <row r="166" spans="1:18" x14ac:dyDescent="0.3">
      <c r="A166" s="116" t="s">
        <v>371</v>
      </c>
      <c r="B166" s="116" t="s">
        <v>322</v>
      </c>
      <c r="C166" s="116"/>
      <c r="D166" s="116" t="s">
        <v>399</v>
      </c>
      <c r="E166" s="116" t="s">
        <v>436</v>
      </c>
      <c r="F166" s="116">
        <v>40</v>
      </c>
      <c r="G166" s="117">
        <v>15585.29</v>
      </c>
      <c r="H166" s="116">
        <v>0</v>
      </c>
      <c r="I166" s="116" t="s">
        <v>322</v>
      </c>
      <c r="J166" s="117">
        <v>0</v>
      </c>
      <c r="K166" s="117">
        <v>0</v>
      </c>
      <c r="L166" s="117">
        <v>0</v>
      </c>
      <c r="M166" s="117">
        <v>0</v>
      </c>
      <c r="N166" s="117">
        <v>0</v>
      </c>
      <c r="O166" s="117">
        <v>4674.43</v>
      </c>
      <c r="P166" s="109">
        <v>3382.38</v>
      </c>
      <c r="Q166" s="109">
        <v>1600.24</v>
      </c>
      <c r="R166" s="109">
        <v>15277.1</v>
      </c>
    </row>
    <row r="167" spans="1:18" x14ac:dyDescent="0.3">
      <c r="A167" s="116" t="s">
        <v>371</v>
      </c>
      <c r="B167" s="116" t="s">
        <v>322</v>
      </c>
      <c r="C167" s="116"/>
      <c r="D167" s="116" t="s">
        <v>399</v>
      </c>
      <c r="E167" s="116" t="s">
        <v>449</v>
      </c>
      <c r="F167" s="116">
        <v>40</v>
      </c>
      <c r="G167" s="117">
        <v>13658.16</v>
      </c>
      <c r="H167" s="116">
        <v>0</v>
      </c>
      <c r="I167" s="116" t="s">
        <v>322</v>
      </c>
      <c r="J167" s="117">
        <v>0</v>
      </c>
      <c r="K167" s="117">
        <v>0</v>
      </c>
      <c r="L167" s="117">
        <v>0</v>
      </c>
      <c r="M167" s="117">
        <v>0</v>
      </c>
      <c r="N167" s="117">
        <v>0</v>
      </c>
      <c r="O167" s="117">
        <v>4894.07</v>
      </c>
      <c r="P167" s="109">
        <v>2818.9</v>
      </c>
      <c r="Q167" s="109">
        <v>1966.27</v>
      </c>
      <c r="R167" s="109">
        <v>13767.06</v>
      </c>
    </row>
    <row r="168" spans="1:18" x14ac:dyDescent="0.3">
      <c r="A168" s="116" t="s">
        <v>371</v>
      </c>
      <c r="B168" s="116" t="s">
        <v>322</v>
      </c>
      <c r="C168" s="116"/>
      <c r="D168" s="116" t="s">
        <v>399</v>
      </c>
      <c r="E168" s="116" t="s">
        <v>435</v>
      </c>
      <c r="F168" s="116">
        <v>40</v>
      </c>
      <c r="G168" s="117">
        <v>9371.6</v>
      </c>
      <c r="H168" s="116">
        <v>0</v>
      </c>
      <c r="I168" s="116" t="s">
        <v>322</v>
      </c>
      <c r="J168" s="117">
        <v>0</v>
      </c>
      <c r="K168" s="117">
        <v>0</v>
      </c>
      <c r="L168" s="117">
        <v>0</v>
      </c>
      <c r="M168" s="117">
        <v>0</v>
      </c>
      <c r="N168" s="117">
        <v>0</v>
      </c>
      <c r="O168" s="117">
        <v>3074.19</v>
      </c>
      <c r="P168" s="109">
        <v>1340.12</v>
      </c>
      <c r="Q168" s="109">
        <v>1280.42</v>
      </c>
      <c r="R168" s="109">
        <v>9825.25</v>
      </c>
    </row>
    <row r="169" spans="1:18" x14ac:dyDescent="0.3">
      <c r="A169" s="116" t="s">
        <v>371</v>
      </c>
      <c r="B169" s="116" t="s">
        <v>390</v>
      </c>
      <c r="C169" s="116"/>
      <c r="D169" s="116" t="s">
        <v>399</v>
      </c>
      <c r="E169" s="116" t="s">
        <v>450</v>
      </c>
      <c r="F169" s="116">
        <v>40</v>
      </c>
      <c r="G169" s="117">
        <v>17928.37</v>
      </c>
      <c r="H169" s="116">
        <v>0</v>
      </c>
      <c r="I169" s="116" t="s">
        <v>322</v>
      </c>
      <c r="J169" s="117">
        <v>0</v>
      </c>
      <c r="K169" s="117">
        <v>0</v>
      </c>
      <c r="L169" s="117">
        <v>0</v>
      </c>
      <c r="M169" s="117">
        <v>0</v>
      </c>
      <c r="N169" s="117">
        <v>0</v>
      </c>
      <c r="O169" s="117">
        <v>3366.96</v>
      </c>
      <c r="P169" s="109">
        <v>3316.73</v>
      </c>
      <c r="Q169" s="109">
        <v>2649.5</v>
      </c>
      <c r="R169" s="109">
        <v>15329.1</v>
      </c>
    </row>
    <row r="170" spans="1:18" x14ac:dyDescent="0.3">
      <c r="A170" s="116" t="s">
        <v>371</v>
      </c>
      <c r="B170" s="116" t="s">
        <v>322</v>
      </c>
      <c r="C170" s="116" t="s">
        <v>451</v>
      </c>
      <c r="D170" s="116" t="s">
        <v>399</v>
      </c>
      <c r="E170" s="116" t="s">
        <v>452</v>
      </c>
      <c r="F170" s="116">
        <v>40</v>
      </c>
      <c r="G170" s="117">
        <v>8175.03</v>
      </c>
      <c r="H170" s="116">
        <v>0</v>
      </c>
      <c r="I170" s="116" t="s">
        <v>322</v>
      </c>
      <c r="J170" s="117">
        <v>0</v>
      </c>
      <c r="K170" s="117">
        <v>0</v>
      </c>
      <c r="L170" s="117">
        <v>0</v>
      </c>
      <c r="M170" s="117">
        <v>0</v>
      </c>
      <c r="N170" s="117">
        <v>0</v>
      </c>
      <c r="O170" s="117">
        <v>3074.19</v>
      </c>
      <c r="P170" s="109">
        <v>1087.92</v>
      </c>
      <c r="Q170" s="109">
        <v>1000.92</v>
      </c>
      <c r="R170" s="109">
        <v>9160.3799999999992</v>
      </c>
    </row>
    <row r="171" spans="1:18" x14ac:dyDescent="0.3">
      <c r="A171" s="116" t="s">
        <v>371</v>
      </c>
      <c r="B171" s="116" t="s">
        <v>322</v>
      </c>
      <c r="C171" s="116"/>
      <c r="D171" s="116" t="s">
        <v>399</v>
      </c>
      <c r="E171" s="116" t="s">
        <v>453</v>
      </c>
      <c r="F171" s="116">
        <v>40</v>
      </c>
      <c r="G171" s="117">
        <v>10766.65</v>
      </c>
      <c r="H171" s="116">
        <v>0</v>
      </c>
      <c r="I171" s="116" t="s">
        <v>322</v>
      </c>
      <c r="J171" s="117">
        <v>0</v>
      </c>
      <c r="K171" s="117">
        <v>0</v>
      </c>
      <c r="L171" s="117">
        <v>0</v>
      </c>
      <c r="M171" s="117">
        <v>0</v>
      </c>
      <c r="N171" s="117">
        <v>0</v>
      </c>
      <c r="O171" s="117">
        <v>3366.96</v>
      </c>
      <c r="P171" s="109">
        <v>1703.81</v>
      </c>
      <c r="Q171" s="109">
        <v>1352.94</v>
      </c>
      <c r="R171" s="109">
        <v>11076.86</v>
      </c>
    </row>
    <row r="172" spans="1:18" x14ac:dyDescent="0.3">
      <c r="A172" s="116" t="s">
        <v>371</v>
      </c>
      <c r="B172" s="116" t="s">
        <v>322</v>
      </c>
      <c r="C172" s="116"/>
      <c r="D172" s="116" t="s">
        <v>399</v>
      </c>
      <c r="E172" s="116" t="s">
        <v>436</v>
      </c>
      <c r="F172" s="116">
        <v>40</v>
      </c>
      <c r="G172" s="117">
        <v>8462.61</v>
      </c>
      <c r="H172" s="116">
        <v>0</v>
      </c>
      <c r="I172" s="116" t="s">
        <v>322</v>
      </c>
      <c r="J172" s="117">
        <v>0</v>
      </c>
      <c r="K172" s="117">
        <v>0</v>
      </c>
      <c r="L172" s="117">
        <v>0</v>
      </c>
      <c r="M172" s="117">
        <v>0</v>
      </c>
      <c r="N172" s="117">
        <v>0</v>
      </c>
      <c r="O172" s="117">
        <v>3220.57</v>
      </c>
      <c r="P172" s="109">
        <v>1078</v>
      </c>
      <c r="Q172" s="109">
        <v>1134.98</v>
      </c>
      <c r="R172" s="109">
        <v>9470.2000000000007</v>
      </c>
    </row>
    <row r="173" spans="1:18" x14ac:dyDescent="0.3">
      <c r="A173" s="116" t="s">
        <v>371</v>
      </c>
      <c r="B173" s="116" t="s">
        <v>322</v>
      </c>
      <c r="C173" s="116"/>
      <c r="D173" s="116" t="s">
        <v>399</v>
      </c>
      <c r="E173" s="116" t="s">
        <v>454</v>
      </c>
      <c r="F173" s="116">
        <v>40</v>
      </c>
      <c r="G173" s="117">
        <v>9881.43</v>
      </c>
      <c r="H173" s="116">
        <v>0</v>
      </c>
      <c r="I173" s="116" t="s">
        <v>322</v>
      </c>
      <c r="J173" s="117">
        <v>0</v>
      </c>
      <c r="K173" s="117">
        <v>0</v>
      </c>
      <c r="L173" s="117">
        <v>0</v>
      </c>
      <c r="M173" s="117">
        <v>0</v>
      </c>
      <c r="N173" s="117">
        <v>0</v>
      </c>
      <c r="O173" s="117">
        <v>3366.96</v>
      </c>
      <c r="P173" s="109">
        <v>1494.06</v>
      </c>
      <c r="Q173" s="109">
        <v>1230.46</v>
      </c>
      <c r="R173" s="109">
        <v>10523.87</v>
      </c>
    </row>
    <row r="174" spans="1:18" x14ac:dyDescent="0.3">
      <c r="A174" s="116" t="s">
        <v>371</v>
      </c>
      <c r="B174" s="116" t="s">
        <v>322</v>
      </c>
      <c r="C174" s="116"/>
      <c r="D174" s="116" t="s">
        <v>399</v>
      </c>
      <c r="E174" s="116" t="s">
        <v>432</v>
      </c>
      <c r="F174" s="116">
        <v>40</v>
      </c>
      <c r="G174" s="117">
        <v>7694.11</v>
      </c>
      <c r="H174" s="116">
        <v>0</v>
      </c>
      <c r="I174" s="116" t="s">
        <v>322</v>
      </c>
      <c r="J174" s="117">
        <v>0</v>
      </c>
      <c r="K174" s="117">
        <v>0</v>
      </c>
      <c r="L174" s="117">
        <v>0</v>
      </c>
      <c r="M174" s="117">
        <v>0</v>
      </c>
      <c r="N174" s="117">
        <v>0</v>
      </c>
      <c r="O174" s="117">
        <v>1463.9</v>
      </c>
      <c r="P174" s="109">
        <v>848.34</v>
      </c>
      <c r="Q174" s="109">
        <v>1012.02</v>
      </c>
      <c r="R174" s="109">
        <v>7297.65</v>
      </c>
    </row>
    <row r="175" spans="1:18" x14ac:dyDescent="0.3">
      <c r="A175" s="116" t="s">
        <v>371</v>
      </c>
      <c r="B175" s="116" t="s">
        <v>322</v>
      </c>
      <c r="C175" s="116"/>
      <c r="D175" s="116" t="s">
        <v>399</v>
      </c>
      <c r="E175" s="116" t="s">
        <v>432</v>
      </c>
      <c r="F175" s="116">
        <v>40</v>
      </c>
      <c r="G175" s="117">
        <v>4717.25</v>
      </c>
      <c r="H175" s="116">
        <v>0</v>
      </c>
      <c r="I175" s="116" t="s">
        <v>322</v>
      </c>
      <c r="J175" s="117">
        <v>0</v>
      </c>
      <c r="K175" s="117">
        <v>0</v>
      </c>
      <c r="L175" s="117">
        <v>0</v>
      </c>
      <c r="M175" s="117">
        <v>0</v>
      </c>
      <c r="N175" s="117">
        <v>0</v>
      </c>
      <c r="O175" s="117">
        <v>3118.47</v>
      </c>
      <c r="P175" s="109">
        <v>290.85000000000002</v>
      </c>
      <c r="Q175" s="109">
        <v>486.35</v>
      </c>
      <c r="R175" s="109">
        <v>7058.52</v>
      </c>
    </row>
    <row r="176" spans="1:18" x14ac:dyDescent="0.3">
      <c r="A176" s="116" t="s">
        <v>371</v>
      </c>
      <c r="B176" s="116" t="s">
        <v>322</v>
      </c>
      <c r="C176" s="116"/>
      <c r="D176" s="116" t="s">
        <v>399</v>
      </c>
      <c r="E176" s="116" t="s">
        <v>455</v>
      </c>
      <c r="F176" s="116">
        <v>40</v>
      </c>
      <c r="G176" s="117">
        <v>9792.02</v>
      </c>
      <c r="H176" s="116">
        <v>0</v>
      </c>
      <c r="I176" s="116" t="s">
        <v>322</v>
      </c>
      <c r="J176" s="117">
        <v>0</v>
      </c>
      <c r="K176" s="117">
        <v>0</v>
      </c>
      <c r="L176" s="117">
        <v>0</v>
      </c>
      <c r="M176" s="117">
        <v>0</v>
      </c>
      <c r="N176" s="117">
        <v>0</v>
      </c>
      <c r="O176" s="117">
        <v>2083.0700000000002</v>
      </c>
      <c r="P176" s="109">
        <v>1474.86</v>
      </c>
      <c r="Q176" s="109">
        <v>1347.68</v>
      </c>
      <c r="R176" s="109">
        <v>9052.5499999999993</v>
      </c>
    </row>
    <row r="177" spans="1:18" x14ac:dyDescent="0.3">
      <c r="A177" s="116" t="s">
        <v>371</v>
      </c>
      <c r="B177" s="116" t="s">
        <v>322</v>
      </c>
      <c r="C177" s="116"/>
      <c r="D177" s="116" t="s">
        <v>399</v>
      </c>
      <c r="E177" s="116" t="s">
        <v>432</v>
      </c>
      <c r="F177" s="116">
        <v>40</v>
      </c>
      <c r="G177" s="117">
        <v>9864.4</v>
      </c>
      <c r="H177" s="116">
        <v>0</v>
      </c>
      <c r="I177" s="116" t="s">
        <v>322</v>
      </c>
      <c r="J177" s="117">
        <v>0</v>
      </c>
      <c r="K177" s="117">
        <v>0</v>
      </c>
      <c r="L177" s="117">
        <v>0</v>
      </c>
      <c r="M177" s="117">
        <v>0</v>
      </c>
      <c r="N177" s="117">
        <v>0</v>
      </c>
      <c r="O177" s="117">
        <v>3074.19</v>
      </c>
      <c r="P177" s="109">
        <v>1453.95</v>
      </c>
      <c r="Q177" s="109">
        <v>1359.26</v>
      </c>
      <c r="R177" s="109">
        <v>10125.379999999999</v>
      </c>
    </row>
    <row r="178" spans="1:18" x14ac:dyDescent="0.3">
      <c r="A178" s="116" t="s">
        <v>371</v>
      </c>
      <c r="B178" s="116" t="s">
        <v>322</v>
      </c>
      <c r="C178" s="116" t="s">
        <v>369</v>
      </c>
      <c r="D178" s="116" t="s">
        <v>399</v>
      </c>
      <c r="E178" s="116" t="s">
        <v>449</v>
      </c>
      <c r="F178" s="116">
        <v>40</v>
      </c>
      <c r="G178" s="117">
        <v>14434.08</v>
      </c>
      <c r="H178" s="116">
        <v>0</v>
      </c>
      <c r="I178" s="116" t="s">
        <v>322</v>
      </c>
      <c r="J178" s="117">
        <v>0</v>
      </c>
      <c r="K178" s="117">
        <v>0</v>
      </c>
      <c r="L178" s="117">
        <v>0</v>
      </c>
      <c r="M178" s="117">
        <v>0</v>
      </c>
      <c r="N178" s="117">
        <v>0</v>
      </c>
      <c r="O178" s="117">
        <v>4820.58</v>
      </c>
      <c r="P178" s="109">
        <v>3084.41</v>
      </c>
      <c r="Q178" s="109">
        <v>1746.39</v>
      </c>
      <c r="R178" s="109">
        <v>14423.86</v>
      </c>
    </row>
    <row r="179" spans="1:18" x14ac:dyDescent="0.3">
      <c r="A179" s="116" t="s">
        <v>371</v>
      </c>
      <c r="B179" s="116" t="s">
        <v>322</v>
      </c>
      <c r="C179" s="116"/>
      <c r="D179" s="116" t="s">
        <v>399</v>
      </c>
      <c r="E179" s="116" t="s">
        <v>455</v>
      </c>
      <c r="F179" s="116">
        <v>40</v>
      </c>
      <c r="G179" s="117">
        <v>8053.8</v>
      </c>
      <c r="H179" s="116">
        <v>0</v>
      </c>
      <c r="I179" s="116" t="s">
        <v>322</v>
      </c>
      <c r="J179" s="117">
        <v>0</v>
      </c>
      <c r="K179" s="117">
        <v>0</v>
      </c>
      <c r="L179" s="117">
        <v>0</v>
      </c>
      <c r="M179" s="117">
        <v>0</v>
      </c>
      <c r="N179" s="117">
        <v>0</v>
      </c>
      <c r="O179" s="117">
        <v>3366.96</v>
      </c>
      <c r="P179" s="109">
        <v>1035.7</v>
      </c>
      <c r="Q179" s="109">
        <v>1069.57</v>
      </c>
      <c r="R179" s="109">
        <v>9315.49</v>
      </c>
    </row>
    <row r="180" spans="1:18" x14ac:dyDescent="0.3">
      <c r="A180" s="116" t="s">
        <v>371</v>
      </c>
      <c r="B180" s="116" t="s">
        <v>322</v>
      </c>
      <c r="C180" s="116" t="s">
        <v>350</v>
      </c>
      <c r="D180" s="116" t="s">
        <v>399</v>
      </c>
      <c r="E180" s="116" t="s">
        <v>401</v>
      </c>
      <c r="F180" s="116">
        <v>40</v>
      </c>
      <c r="G180" s="117">
        <v>12684.21</v>
      </c>
      <c r="H180" s="116">
        <v>0</v>
      </c>
      <c r="I180" s="116" t="s">
        <v>322</v>
      </c>
      <c r="J180" s="117">
        <v>0</v>
      </c>
      <c r="K180" s="117">
        <v>0</v>
      </c>
      <c r="L180" s="117">
        <v>0</v>
      </c>
      <c r="M180" s="117">
        <v>0</v>
      </c>
      <c r="N180" s="117">
        <v>0</v>
      </c>
      <c r="O180" s="117">
        <v>3220.57</v>
      </c>
      <c r="P180" s="109">
        <v>2124.96</v>
      </c>
      <c r="Q180" s="109">
        <v>1359.88</v>
      </c>
      <c r="R180" s="109">
        <v>12419.94</v>
      </c>
    </row>
    <row r="181" spans="1:18" x14ac:dyDescent="0.3">
      <c r="A181" s="116" t="s">
        <v>371</v>
      </c>
      <c r="B181" s="116" t="s">
        <v>322</v>
      </c>
      <c r="C181" s="116"/>
      <c r="D181" s="116" t="s">
        <v>399</v>
      </c>
      <c r="E181" s="116" t="s">
        <v>325</v>
      </c>
      <c r="F181" s="116">
        <v>40</v>
      </c>
      <c r="G181" s="117">
        <v>9389.4</v>
      </c>
      <c r="H181" s="116">
        <v>0</v>
      </c>
      <c r="I181" s="116" t="s">
        <v>322</v>
      </c>
      <c r="J181" s="117">
        <v>0</v>
      </c>
      <c r="K181" s="117">
        <v>0</v>
      </c>
      <c r="L181" s="117">
        <v>0</v>
      </c>
      <c r="M181" s="117">
        <v>0</v>
      </c>
      <c r="N181" s="117">
        <v>0</v>
      </c>
      <c r="O181" s="117">
        <v>3074.19</v>
      </c>
      <c r="P181" s="109">
        <v>1344.23</v>
      </c>
      <c r="Q181" s="109">
        <v>1283.26</v>
      </c>
      <c r="R181" s="109">
        <v>9836.1</v>
      </c>
    </row>
    <row r="182" spans="1:18" x14ac:dyDescent="0.3">
      <c r="A182" s="116" t="s">
        <v>371</v>
      </c>
      <c r="B182" s="116" t="s">
        <v>322</v>
      </c>
      <c r="C182" s="116"/>
      <c r="D182" s="116" t="s">
        <v>399</v>
      </c>
      <c r="E182" s="116" t="s">
        <v>435</v>
      </c>
      <c r="F182" s="116">
        <v>40</v>
      </c>
      <c r="G182" s="117">
        <v>7696.16</v>
      </c>
      <c r="H182" s="116">
        <v>0</v>
      </c>
      <c r="I182" s="116" t="s">
        <v>322</v>
      </c>
      <c r="J182" s="117">
        <v>0</v>
      </c>
      <c r="K182" s="117">
        <v>0</v>
      </c>
      <c r="L182" s="117">
        <v>0</v>
      </c>
      <c r="M182" s="117">
        <v>0</v>
      </c>
      <c r="N182" s="117">
        <v>0</v>
      </c>
      <c r="O182" s="117">
        <v>3366.96</v>
      </c>
      <c r="P182" s="109">
        <v>953.09</v>
      </c>
      <c r="Q182" s="109">
        <v>1012.35</v>
      </c>
      <c r="R182" s="109">
        <v>9097.68</v>
      </c>
    </row>
    <row r="183" spans="1:18" x14ac:dyDescent="0.3">
      <c r="A183" s="116" t="s">
        <v>371</v>
      </c>
      <c r="B183" s="116" t="s">
        <v>322</v>
      </c>
      <c r="C183" s="116"/>
      <c r="D183" s="116" t="s">
        <v>399</v>
      </c>
      <c r="E183" s="116" t="s">
        <v>402</v>
      </c>
      <c r="F183" s="116">
        <v>40</v>
      </c>
      <c r="G183" s="117">
        <v>9023.9599999999991</v>
      </c>
      <c r="H183" s="116">
        <v>0</v>
      </c>
      <c r="I183" s="116" t="s">
        <v>322</v>
      </c>
      <c r="J183" s="117">
        <v>0</v>
      </c>
      <c r="K183" s="117">
        <v>0</v>
      </c>
      <c r="L183" s="117">
        <v>0</v>
      </c>
      <c r="M183" s="117">
        <v>0</v>
      </c>
      <c r="N183" s="117">
        <v>0</v>
      </c>
      <c r="O183" s="117">
        <v>3067.22</v>
      </c>
      <c r="P183" s="109">
        <v>1403.74</v>
      </c>
      <c r="Q183" s="109">
        <v>1224.79</v>
      </c>
      <c r="R183" s="109">
        <v>9462.65</v>
      </c>
    </row>
    <row r="184" spans="1:18" x14ac:dyDescent="0.3">
      <c r="A184" s="116" t="s">
        <v>371</v>
      </c>
      <c r="B184" s="116" t="s">
        <v>322</v>
      </c>
      <c r="C184" s="116"/>
      <c r="D184" s="116" t="s">
        <v>399</v>
      </c>
      <c r="E184" s="116" t="s">
        <v>436</v>
      </c>
      <c r="F184" s="116">
        <v>40</v>
      </c>
      <c r="G184" s="117">
        <v>10496.17</v>
      </c>
      <c r="H184" s="116">
        <v>0</v>
      </c>
      <c r="I184" s="116" t="s">
        <v>322</v>
      </c>
      <c r="J184" s="117">
        <v>3498.72</v>
      </c>
      <c r="K184" s="117">
        <v>0</v>
      </c>
      <c r="L184" s="117">
        <v>0</v>
      </c>
      <c r="M184" s="117">
        <v>0</v>
      </c>
      <c r="N184" s="117">
        <v>0</v>
      </c>
      <c r="O184" s="117">
        <v>3366.96</v>
      </c>
      <c r="P184" s="109">
        <v>1918.08</v>
      </c>
      <c r="Q184" s="109">
        <v>864.79</v>
      </c>
      <c r="R184" s="109">
        <v>14578.98</v>
      </c>
    </row>
    <row r="185" spans="1:18" x14ac:dyDescent="0.3">
      <c r="A185" s="116" t="s">
        <v>371</v>
      </c>
      <c r="B185" s="116" t="s">
        <v>322</v>
      </c>
      <c r="C185" s="116"/>
      <c r="D185" s="116" t="s">
        <v>399</v>
      </c>
      <c r="E185" s="116" t="s">
        <v>424</v>
      </c>
      <c r="F185" s="116">
        <v>40</v>
      </c>
      <c r="G185" s="117">
        <v>10143.68</v>
      </c>
      <c r="H185" s="116">
        <v>0</v>
      </c>
      <c r="I185" s="116" t="s">
        <v>322</v>
      </c>
      <c r="J185" s="117">
        <v>0</v>
      </c>
      <c r="K185" s="117">
        <v>0</v>
      </c>
      <c r="L185" s="117">
        <v>0</v>
      </c>
      <c r="M185" s="117">
        <v>0</v>
      </c>
      <c r="N185" s="117">
        <v>0</v>
      </c>
      <c r="O185" s="117">
        <v>3366.96</v>
      </c>
      <c r="P185" s="109">
        <v>1558.7</v>
      </c>
      <c r="Q185" s="109">
        <v>1257.6500000000001</v>
      </c>
      <c r="R185" s="109">
        <v>10694.29</v>
      </c>
    </row>
    <row r="186" spans="1:18" x14ac:dyDescent="0.3">
      <c r="A186" s="116" t="s">
        <v>371</v>
      </c>
      <c r="B186" s="116" t="s">
        <v>322</v>
      </c>
      <c r="C186" s="116"/>
      <c r="D186" s="116" t="s">
        <v>399</v>
      </c>
      <c r="E186" s="116" t="s">
        <v>456</v>
      </c>
      <c r="F186" s="116">
        <v>40</v>
      </c>
      <c r="G186" s="117">
        <v>7696.16</v>
      </c>
      <c r="H186" s="116">
        <v>0</v>
      </c>
      <c r="I186" s="116" t="s">
        <v>322</v>
      </c>
      <c r="J186" s="117">
        <v>0</v>
      </c>
      <c r="K186" s="117">
        <v>0</v>
      </c>
      <c r="L186" s="117">
        <v>0</v>
      </c>
      <c r="M186" s="117">
        <v>0</v>
      </c>
      <c r="N186" s="117">
        <v>0</v>
      </c>
      <c r="O186" s="117">
        <v>3074.19</v>
      </c>
      <c r="P186" s="109">
        <v>953.09</v>
      </c>
      <c r="Q186" s="109">
        <v>1012.35</v>
      </c>
      <c r="R186" s="109">
        <v>8804.91</v>
      </c>
    </row>
    <row r="187" spans="1:18" x14ac:dyDescent="0.3">
      <c r="A187" s="116" t="s">
        <v>371</v>
      </c>
      <c r="B187" s="116" t="s">
        <v>322</v>
      </c>
      <c r="C187" s="116" t="s">
        <v>382</v>
      </c>
      <c r="D187" s="116" t="s">
        <v>399</v>
      </c>
      <c r="E187" s="116" t="s">
        <v>409</v>
      </c>
      <c r="F187" s="116">
        <v>40</v>
      </c>
      <c r="G187" s="117">
        <v>13153.99</v>
      </c>
      <c r="H187" s="116">
        <v>0</v>
      </c>
      <c r="I187" s="116" t="s">
        <v>322</v>
      </c>
      <c r="J187" s="117">
        <v>0</v>
      </c>
      <c r="K187" s="117">
        <v>0</v>
      </c>
      <c r="L187" s="117">
        <v>0</v>
      </c>
      <c r="M187" s="117">
        <v>0</v>
      </c>
      <c r="N187" s="117">
        <v>0</v>
      </c>
      <c r="O187" s="117">
        <v>3366.96</v>
      </c>
      <c r="P187" s="109">
        <v>2244.65</v>
      </c>
      <c r="Q187" s="109">
        <v>1773.6</v>
      </c>
      <c r="R187" s="109">
        <v>12502.7</v>
      </c>
    </row>
    <row r="188" spans="1:18" x14ac:dyDescent="0.3">
      <c r="A188" s="116" t="s">
        <v>371</v>
      </c>
      <c r="B188" s="116" t="s">
        <v>322</v>
      </c>
      <c r="C188" s="116"/>
      <c r="D188" s="116" t="s">
        <v>399</v>
      </c>
      <c r="E188" s="116" t="s">
        <v>457</v>
      </c>
      <c r="F188" s="116">
        <v>40</v>
      </c>
      <c r="G188" s="117">
        <v>8095.93</v>
      </c>
      <c r="H188" s="116">
        <v>0</v>
      </c>
      <c r="I188" s="116" t="s">
        <v>322</v>
      </c>
      <c r="J188" s="117">
        <v>0</v>
      </c>
      <c r="K188" s="117">
        <v>0</v>
      </c>
      <c r="L188" s="117">
        <v>0</v>
      </c>
      <c r="M188" s="117">
        <v>0</v>
      </c>
      <c r="N188" s="117">
        <v>0</v>
      </c>
      <c r="O188" s="117">
        <v>585.55999999999995</v>
      </c>
      <c r="P188" s="109">
        <v>1076.83</v>
      </c>
      <c r="Q188" s="109">
        <v>962.14</v>
      </c>
      <c r="R188" s="109">
        <v>6642.52</v>
      </c>
    </row>
    <row r="189" spans="1:18" x14ac:dyDescent="0.3">
      <c r="A189" s="116" t="s">
        <v>371</v>
      </c>
      <c r="B189" s="116" t="s">
        <v>322</v>
      </c>
      <c r="C189" s="116"/>
      <c r="D189" s="116" t="s">
        <v>399</v>
      </c>
      <c r="E189" s="116" t="s">
        <v>458</v>
      </c>
      <c r="F189" s="116">
        <v>40</v>
      </c>
      <c r="G189" s="117">
        <v>9723.59</v>
      </c>
      <c r="H189" s="116">
        <v>0</v>
      </c>
      <c r="I189" s="116" t="s">
        <v>322</v>
      </c>
      <c r="J189" s="117">
        <v>0</v>
      </c>
      <c r="K189" s="117">
        <v>0</v>
      </c>
      <c r="L189" s="117">
        <v>0</v>
      </c>
      <c r="M189" s="117">
        <v>0</v>
      </c>
      <c r="N189" s="117">
        <v>0</v>
      </c>
      <c r="O189" s="117">
        <v>2927.79</v>
      </c>
      <c r="P189" s="109">
        <v>1599.35</v>
      </c>
      <c r="Q189" s="109">
        <v>689.75</v>
      </c>
      <c r="R189" s="109">
        <v>10362.280000000001</v>
      </c>
    </row>
    <row r="190" spans="1:18" x14ac:dyDescent="0.3">
      <c r="A190" s="116" t="s">
        <v>371</v>
      </c>
      <c r="B190" s="116" t="s">
        <v>322</v>
      </c>
      <c r="C190" s="116"/>
      <c r="D190" s="116" t="s">
        <v>399</v>
      </c>
      <c r="E190" s="116" t="s">
        <v>459</v>
      </c>
      <c r="F190" s="116">
        <v>40</v>
      </c>
      <c r="G190" s="117">
        <v>13711.13</v>
      </c>
      <c r="H190" s="116">
        <v>0</v>
      </c>
      <c r="I190" s="116" t="s">
        <v>322</v>
      </c>
      <c r="J190" s="117">
        <v>0</v>
      </c>
      <c r="K190" s="117">
        <v>0</v>
      </c>
      <c r="L190" s="117">
        <v>0</v>
      </c>
      <c r="M190" s="117">
        <v>0</v>
      </c>
      <c r="N190" s="117">
        <v>0</v>
      </c>
      <c r="O190" s="117">
        <v>2049.4499999999998</v>
      </c>
      <c r="P190" s="109">
        <v>2405.21</v>
      </c>
      <c r="Q190" s="109">
        <v>1746.88</v>
      </c>
      <c r="R190" s="109">
        <v>11608.49</v>
      </c>
    </row>
    <row r="191" spans="1:18" x14ac:dyDescent="0.3">
      <c r="A191" s="116" t="s">
        <v>371</v>
      </c>
      <c r="B191" s="116" t="s">
        <v>322</v>
      </c>
      <c r="C191" s="116"/>
      <c r="D191" s="116" t="s">
        <v>399</v>
      </c>
      <c r="E191" s="116" t="s">
        <v>460</v>
      </c>
      <c r="F191" s="116">
        <v>40</v>
      </c>
      <c r="G191" s="117">
        <v>8816.14</v>
      </c>
      <c r="H191" s="116">
        <v>0</v>
      </c>
      <c r="I191" s="116" t="s">
        <v>322</v>
      </c>
      <c r="J191" s="117">
        <v>0</v>
      </c>
      <c r="K191" s="117">
        <v>0</v>
      </c>
      <c r="L191" s="117">
        <v>0</v>
      </c>
      <c r="M191" s="117">
        <v>0</v>
      </c>
      <c r="N191" s="117">
        <v>0</v>
      </c>
      <c r="O191" s="117">
        <v>3366.96</v>
      </c>
      <c r="P191" s="109">
        <v>1245.9000000000001</v>
      </c>
      <c r="Q191" s="109">
        <v>1067.56</v>
      </c>
      <c r="R191" s="109">
        <v>9869.64</v>
      </c>
    </row>
    <row r="192" spans="1:18" x14ac:dyDescent="0.3">
      <c r="A192" s="116" t="s">
        <v>371</v>
      </c>
      <c r="B192" s="116" t="s">
        <v>322</v>
      </c>
      <c r="C192" s="116"/>
      <c r="D192" s="116" t="s">
        <v>399</v>
      </c>
      <c r="E192" s="116" t="s">
        <v>424</v>
      </c>
      <c r="F192" s="116">
        <v>40</v>
      </c>
      <c r="G192" s="117">
        <v>11152.54</v>
      </c>
      <c r="H192" s="116">
        <v>0</v>
      </c>
      <c r="I192" s="116" t="s">
        <v>322</v>
      </c>
      <c r="J192" s="117">
        <v>0</v>
      </c>
      <c r="K192" s="117">
        <v>0</v>
      </c>
      <c r="L192" s="117">
        <v>0</v>
      </c>
      <c r="M192" s="117">
        <v>0</v>
      </c>
      <c r="N192" s="117">
        <v>0</v>
      </c>
      <c r="O192" s="117">
        <v>3220.57</v>
      </c>
      <c r="P192" s="109">
        <v>1740.81</v>
      </c>
      <c r="Q192" s="109">
        <v>1414.68</v>
      </c>
      <c r="R192" s="109">
        <v>11217.62</v>
      </c>
    </row>
    <row r="193" spans="1:18" x14ac:dyDescent="0.3">
      <c r="A193" s="116" t="s">
        <v>371</v>
      </c>
      <c r="B193" s="116" t="s">
        <v>322</v>
      </c>
      <c r="C193" s="116"/>
      <c r="D193" s="116" t="s">
        <v>399</v>
      </c>
      <c r="E193" s="116" t="s">
        <v>461</v>
      </c>
      <c r="F193" s="116">
        <v>40</v>
      </c>
      <c r="G193" s="117">
        <v>8053.8</v>
      </c>
      <c r="H193" s="116">
        <v>0</v>
      </c>
      <c r="I193" s="116" t="s">
        <v>322</v>
      </c>
      <c r="J193" s="117">
        <v>0</v>
      </c>
      <c r="K193" s="117">
        <v>0</v>
      </c>
      <c r="L193" s="117">
        <v>0</v>
      </c>
      <c r="M193" s="117">
        <v>0</v>
      </c>
      <c r="N193" s="117">
        <v>0</v>
      </c>
      <c r="O193" s="117">
        <v>3366.96</v>
      </c>
      <c r="P193" s="109">
        <v>931.43</v>
      </c>
      <c r="Q193" s="109">
        <v>1069.57</v>
      </c>
      <c r="R193" s="109">
        <v>9419.76</v>
      </c>
    </row>
    <row r="194" spans="1:18" x14ac:dyDescent="0.3">
      <c r="A194" s="116" t="s">
        <v>371</v>
      </c>
      <c r="B194" s="116" t="s">
        <v>322</v>
      </c>
      <c r="C194" s="116"/>
      <c r="D194" s="116" t="s">
        <v>399</v>
      </c>
      <c r="E194" s="116" t="s">
        <v>429</v>
      </c>
      <c r="F194" s="116">
        <v>40</v>
      </c>
      <c r="G194" s="117">
        <v>16281.04</v>
      </c>
      <c r="H194" s="116">
        <v>0</v>
      </c>
      <c r="I194" s="116" t="s">
        <v>322</v>
      </c>
      <c r="J194" s="117">
        <v>0</v>
      </c>
      <c r="K194" s="117">
        <v>0</v>
      </c>
      <c r="L194" s="117">
        <v>0</v>
      </c>
      <c r="M194" s="117">
        <v>0</v>
      </c>
      <c r="N194" s="117">
        <v>0</v>
      </c>
      <c r="O194" s="117">
        <v>3366.96</v>
      </c>
      <c r="P194" s="109">
        <v>2903.27</v>
      </c>
      <c r="Q194" s="109">
        <v>2126.4899999999998</v>
      </c>
      <c r="R194" s="109">
        <v>14618.24</v>
      </c>
    </row>
    <row r="195" spans="1:18" x14ac:dyDescent="0.3">
      <c r="A195" s="116" t="s">
        <v>371</v>
      </c>
      <c r="B195" s="116" t="s">
        <v>322</v>
      </c>
      <c r="C195" s="116"/>
      <c r="D195" s="116" t="s">
        <v>399</v>
      </c>
      <c r="E195" s="116" t="s">
        <v>462</v>
      </c>
      <c r="F195" s="116">
        <v>40</v>
      </c>
      <c r="G195" s="117">
        <v>8783.26</v>
      </c>
      <c r="H195" s="116">
        <v>0</v>
      </c>
      <c r="I195" s="116" t="s">
        <v>322</v>
      </c>
      <c r="J195" s="117">
        <v>0</v>
      </c>
      <c r="K195" s="117">
        <v>0</v>
      </c>
      <c r="L195" s="117">
        <v>0</v>
      </c>
      <c r="M195" s="117">
        <v>0</v>
      </c>
      <c r="N195" s="117">
        <v>0</v>
      </c>
      <c r="O195" s="117">
        <v>3366.96</v>
      </c>
      <c r="P195" s="109">
        <v>1238.3</v>
      </c>
      <c r="Q195" s="109">
        <v>1062.3</v>
      </c>
      <c r="R195" s="109">
        <v>9849.6200000000008</v>
      </c>
    </row>
    <row r="196" spans="1:18" x14ac:dyDescent="0.3">
      <c r="A196" s="116" t="s">
        <v>371</v>
      </c>
      <c r="B196" s="116" t="s">
        <v>322</v>
      </c>
      <c r="C196" s="116"/>
      <c r="D196" s="116" t="s">
        <v>399</v>
      </c>
      <c r="E196" s="116" t="s">
        <v>463</v>
      </c>
      <c r="F196" s="116">
        <v>40</v>
      </c>
      <c r="G196" s="117">
        <v>8467.64</v>
      </c>
      <c r="H196" s="116">
        <v>0</v>
      </c>
      <c r="I196" s="116" t="s">
        <v>322</v>
      </c>
      <c r="J196" s="117">
        <v>0</v>
      </c>
      <c r="K196" s="117">
        <v>0</v>
      </c>
      <c r="L196" s="117">
        <v>0</v>
      </c>
      <c r="M196" s="117">
        <v>0</v>
      </c>
      <c r="N196" s="117">
        <v>0</v>
      </c>
      <c r="O196" s="117">
        <v>3366.96</v>
      </c>
      <c r="P196" s="109">
        <v>1113.26</v>
      </c>
      <c r="Q196" s="109">
        <v>1011.8</v>
      </c>
      <c r="R196" s="109">
        <v>9709.5400000000009</v>
      </c>
    </row>
    <row r="197" spans="1:18" x14ac:dyDescent="0.3">
      <c r="A197" s="116" t="s">
        <v>371</v>
      </c>
      <c r="B197" s="116" t="s">
        <v>322</v>
      </c>
      <c r="C197" s="116"/>
      <c r="D197" s="116" t="s">
        <v>399</v>
      </c>
      <c r="E197" s="116" t="s">
        <v>411</v>
      </c>
      <c r="F197" s="116">
        <v>40</v>
      </c>
      <c r="G197" s="117">
        <v>10165.06</v>
      </c>
      <c r="H197" s="116">
        <v>0</v>
      </c>
      <c r="I197" s="116" t="s">
        <v>322</v>
      </c>
      <c r="J197" s="117">
        <v>0</v>
      </c>
      <c r="K197" s="117">
        <v>0</v>
      </c>
      <c r="L197" s="117">
        <v>0</v>
      </c>
      <c r="M197" s="117">
        <v>0</v>
      </c>
      <c r="N197" s="117">
        <v>0</v>
      </c>
      <c r="O197" s="117">
        <v>3031.83</v>
      </c>
      <c r="P197" s="109">
        <v>1511.76</v>
      </c>
      <c r="Q197" s="109">
        <v>1407.37</v>
      </c>
      <c r="R197" s="109">
        <v>10277.76</v>
      </c>
    </row>
    <row r="198" spans="1:18" x14ac:dyDescent="0.3">
      <c r="A198" s="116" t="s">
        <v>371</v>
      </c>
      <c r="B198" s="116" t="s">
        <v>322</v>
      </c>
      <c r="C198" s="116"/>
      <c r="D198" s="116" t="s">
        <v>399</v>
      </c>
      <c r="E198" s="116" t="s">
        <v>423</v>
      </c>
      <c r="F198" s="116">
        <v>40</v>
      </c>
      <c r="G198" s="117">
        <v>9864.4</v>
      </c>
      <c r="H198" s="116">
        <v>0</v>
      </c>
      <c r="I198" s="116" t="s">
        <v>322</v>
      </c>
      <c r="J198" s="117">
        <v>0</v>
      </c>
      <c r="K198" s="117">
        <v>0</v>
      </c>
      <c r="L198" s="117">
        <v>0</v>
      </c>
      <c r="M198" s="117">
        <v>0</v>
      </c>
      <c r="N198" s="117">
        <v>0</v>
      </c>
      <c r="O198" s="117">
        <v>1610.29</v>
      </c>
      <c r="P198" s="109">
        <v>873.63</v>
      </c>
      <c r="Q198" s="109">
        <v>770.03</v>
      </c>
      <c r="R198" s="109">
        <v>9831.0300000000007</v>
      </c>
    </row>
    <row r="199" spans="1:18" x14ac:dyDescent="0.3">
      <c r="A199" s="116" t="s">
        <v>371</v>
      </c>
      <c r="B199" s="116" t="s">
        <v>322</v>
      </c>
      <c r="C199" s="116" t="s">
        <v>464</v>
      </c>
      <c r="D199" s="116" t="s">
        <v>399</v>
      </c>
      <c r="E199" s="116" t="s">
        <v>325</v>
      </c>
      <c r="F199" s="116">
        <v>40</v>
      </c>
      <c r="G199" s="117">
        <v>10348.67</v>
      </c>
      <c r="H199" s="116">
        <v>0</v>
      </c>
      <c r="I199" s="116" t="s">
        <v>322</v>
      </c>
      <c r="J199" s="117">
        <v>0</v>
      </c>
      <c r="K199" s="117">
        <v>0</v>
      </c>
      <c r="L199" s="117">
        <v>0</v>
      </c>
      <c r="M199" s="117">
        <v>0</v>
      </c>
      <c r="N199" s="117">
        <v>0</v>
      </c>
      <c r="O199" s="117">
        <v>3074.19</v>
      </c>
      <c r="P199" s="109">
        <v>1749.17</v>
      </c>
      <c r="Q199" s="109">
        <v>770.03</v>
      </c>
      <c r="R199" s="109">
        <v>10903.66</v>
      </c>
    </row>
    <row r="200" spans="1:18" x14ac:dyDescent="0.3">
      <c r="A200" s="116" t="s">
        <v>371</v>
      </c>
      <c r="B200" s="116" t="s">
        <v>390</v>
      </c>
      <c r="C200" s="116"/>
      <c r="D200" s="116" t="s">
        <v>399</v>
      </c>
      <c r="E200" s="116" t="s">
        <v>465</v>
      </c>
      <c r="F200" s="116">
        <v>40</v>
      </c>
      <c r="G200" s="117">
        <v>17765.2</v>
      </c>
      <c r="H200" s="116">
        <v>0</v>
      </c>
      <c r="I200" s="116" t="s">
        <v>322</v>
      </c>
      <c r="J200" s="117">
        <v>0</v>
      </c>
      <c r="K200" s="117">
        <v>0</v>
      </c>
      <c r="L200" s="117">
        <v>0</v>
      </c>
      <c r="M200" s="117">
        <v>0</v>
      </c>
      <c r="N200" s="117">
        <v>0</v>
      </c>
      <c r="O200" s="117">
        <v>5843.96</v>
      </c>
      <c r="P200" s="109">
        <v>4000.47</v>
      </c>
      <c r="Q200" s="109">
        <v>2623.39</v>
      </c>
      <c r="R200" s="109">
        <v>16985.3</v>
      </c>
    </row>
    <row r="201" spans="1:18" x14ac:dyDescent="0.3">
      <c r="A201" s="116" t="s">
        <v>371</v>
      </c>
      <c r="B201" s="116" t="s">
        <v>390</v>
      </c>
      <c r="C201" s="116"/>
      <c r="D201" s="116" t="s">
        <v>399</v>
      </c>
      <c r="E201" s="116" t="s">
        <v>402</v>
      </c>
      <c r="F201" s="116">
        <v>40</v>
      </c>
      <c r="G201" s="117">
        <v>19920.37</v>
      </c>
      <c r="H201" s="116">
        <v>0</v>
      </c>
      <c r="I201" s="116" t="s">
        <v>322</v>
      </c>
      <c r="J201" s="117">
        <v>0</v>
      </c>
      <c r="K201" s="117">
        <v>0</v>
      </c>
      <c r="L201" s="117">
        <v>0</v>
      </c>
      <c r="M201" s="117">
        <v>0</v>
      </c>
      <c r="N201" s="117">
        <v>0</v>
      </c>
      <c r="O201" s="117">
        <v>6042.41</v>
      </c>
      <c r="P201" s="109">
        <v>4541</v>
      </c>
      <c r="Q201" s="109">
        <v>2968.22</v>
      </c>
      <c r="R201" s="109">
        <v>18453.560000000001</v>
      </c>
    </row>
    <row r="202" spans="1:18" x14ac:dyDescent="0.3">
      <c r="A202" s="116" t="s">
        <v>371</v>
      </c>
      <c r="B202" s="116" t="s">
        <v>322</v>
      </c>
      <c r="C202" s="116"/>
      <c r="D202" s="116" t="s">
        <v>399</v>
      </c>
      <c r="E202" s="116" t="s">
        <v>455</v>
      </c>
      <c r="F202" s="116">
        <v>40</v>
      </c>
      <c r="G202" s="117">
        <v>9777.33</v>
      </c>
      <c r="H202" s="116">
        <v>0</v>
      </c>
      <c r="I202" s="116" t="s">
        <v>322</v>
      </c>
      <c r="J202" s="117">
        <v>0</v>
      </c>
      <c r="K202" s="117">
        <v>0</v>
      </c>
      <c r="L202" s="117">
        <v>0</v>
      </c>
      <c r="M202" s="117">
        <v>0</v>
      </c>
      <c r="N202" s="117">
        <v>0</v>
      </c>
      <c r="O202" s="117">
        <v>3366.96</v>
      </c>
      <c r="P202" s="109">
        <v>1433.84</v>
      </c>
      <c r="Q202" s="109">
        <v>1345.33</v>
      </c>
      <c r="R202" s="109">
        <v>10365.120000000001</v>
      </c>
    </row>
    <row r="203" spans="1:18" x14ac:dyDescent="0.3">
      <c r="A203" s="116" t="s">
        <v>371</v>
      </c>
      <c r="B203" s="116" t="s">
        <v>322</v>
      </c>
      <c r="C203" s="116"/>
      <c r="D203" s="116" t="s">
        <v>399</v>
      </c>
      <c r="E203" s="116" t="s">
        <v>439</v>
      </c>
      <c r="F203" s="116">
        <v>40</v>
      </c>
      <c r="G203" s="117">
        <v>9864.4</v>
      </c>
      <c r="H203" s="116">
        <v>0</v>
      </c>
      <c r="I203" s="116" t="s">
        <v>322</v>
      </c>
      <c r="J203" s="117">
        <v>0</v>
      </c>
      <c r="K203" s="117">
        <v>0</v>
      </c>
      <c r="L203" s="117">
        <v>0</v>
      </c>
      <c r="M203" s="117">
        <v>0</v>
      </c>
      <c r="N203" s="117">
        <v>0</v>
      </c>
      <c r="O203" s="117">
        <v>1463.9</v>
      </c>
      <c r="P203" s="109">
        <v>1615.99</v>
      </c>
      <c r="Q203" s="109">
        <v>770.03</v>
      </c>
      <c r="R203" s="109">
        <v>8942.2800000000007</v>
      </c>
    </row>
    <row r="204" spans="1:18" x14ac:dyDescent="0.3">
      <c r="A204" s="116" t="s">
        <v>371</v>
      </c>
      <c r="B204" s="116" t="s">
        <v>322</v>
      </c>
      <c r="C204" s="116"/>
      <c r="D204" s="116" t="s">
        <v>399</v>
      </c>
      <c r="E204" s="116" t="s">
        <v>455</v>
      </c>
      <c r="F204" s="116">
        <v>40</v>
      </c>
      <c r="G204" s="117">
        <v>9537.7000000000007</v>
      </c>
      <c r="H204" s="116">
        <v>0</v>
      </c>
      <c r="I204" s="116" t="s">
        <v>322</v>
      </c>
      <c r="J204" s="117">
        <v>0</v>
      </c>
      <c r="K204" s="117">
        <v>0</v>
      </c>
      <c r="L204" s="117">
        <v>0</v>
      </c>
      <c r="M204" s="117">
        <v>0</v>
      </c>
      <c r="N204" s="117">
        <v>0</v>
      </c>
      <c r="O204" s="117">
        <v>4255.8500000000004</v>
      </c>
      <c r="P204" s="109">
        <v>1631.74</v>
      </c>
      <c r="Q204" s="109">
        <v>1134.43</v>
      </c>
      <c r="R204" s="109">
        <v>11027.38</v>
      </c>
    </row>
    <row r="205" spans="1:18" x14ac:dyDescent="0.3">
      <c r="A205" s="116" t="s">
        <v>371</v>
      </c>
      <c r="B205" s="116" t="s">
        <v>322</v>
      </c>
      <c r="C205" s="116"/>
      <c r="D205" s="116" t="s">
        <v>399</v>
      </c>
      <c r="E205" s="116" t="s">
        <v>466</v>
      </c>
      <c r="F205" s="116">
        <v>40</v>
      </c>
      <c r="G205" s="117">
        <v>12738.22</v>
      </c>
      <c r="H205" s="116">
        <v>0</v>
      </c>
      <c r="I205" s="116" t="s">
        <v>322</v>
      </c>
      <c r="J205" s="117">
        <v>0</v>
      </c>
      <c r="K205" s="117">
        <v>0</v>
      </c>
      <c r="L205" s="117">
        <v>0</v>
      </c>
      <c r="M205" s="117">
        <v>0</v>
      </c>
      <c r="N205" s="117">
        <v>0</v>
      </c>
      <c r="O205" s="117">
        <v>1756.67</v>
      </c>
      <c r="P205" s="109">
        <v>2117.8000000000002</v>
      </c>
      <c r="Q205" s="109">
        <v>1819.08</v>
      </c>
      <c r="R205" s="109">
        <v>10558.01</v>
      </c>
    </row>
    <row r="206" spans="1:18" x14ac:dyDescent="0.3">
      <c r="A206" s="116" t="s">
        <v>371</v>
      </c>
      <c r="B206" s="116" t="s">
        <v>322</v>
      </c>
      <c r="C206" s="116"/>
      <c r="D206" s="116" t="s">
        <v>399</v>
      </c>
      <c r="E206" s="116" t="s">
        <v>436</v>
      </c>
      <c r="F206" s="116">
        <v>40</v>
      </c>
      <c r="G206" s="117">
        <v>8880.57</v>
      </c>
      <c r="H206" s="116">
        <v>0</v>
      </c>
      <c r="I206" s="116" t="s">
        <v>322</v>
      </c>
      <c r="J206" s="117">
        <v>2960.19</v>
      </c>
      <c r="K206" s="117">
        <v>0</v>
      </c>
      <c r="L206" s="117">
        <v>0</v>
      </c>
      <c r="M206" s="117">
        <v>0</v>
      </c>
      <c r="N206" s="117">
        <v>0</v>
      </c>
      <c r="O206" s="117">
        <v>3074.19</v>
      </c>
      <c r="P206" s="109">
        <v>1334.41</v>
      </c>
      <c r="Q206" s="109">
        <v>1077.8699999999999</v>
      </c>
      <c r="R206" s="109">
        <v>12502.67</v>
      </c>
    </row>
    <row r="207" spans="1:18" x14ac:dyDescent="0.3">
      <c r="A207" s="116" t="s">
        <v>371</v>
      </c>
      <c r="B207" s="116" t="s">
        <v>322</v>
      </c>
      <c r="C207" s="116"/>
      <c r="D207" s="116" t="s">
        <v>399</v>
      </c>
      <c r="E207" s="116" t="s">
        <v>434</v>
      </c>
      <c r="F207" s="116">
        <v>40</v>
      </c>
      <c r="G207" s="117">
        <v>9797.58</v>
      </c>
      <c r="H207" s="116">
        <v>0</v>
      </c>
      <c r="I207" s="116" t="s">
        <v>322</v>
      </c>
      <c r="J207" s="117">
        <v>0</v>
      </c>
      <c r="K207" s="117">
        <v>0</v>
      </c>
      <c r="L207" s="117">
        <v>0</v>
      </c>
      <c r="M207" s="117">
        <v>0</v>
      </c>
      <c r="N207" s="117">
        <v>0</v>
      </c>
      <c r="O207" s="117">
        <v>3220.57</v>
      </c>
      <c r="P207" s="109">
        <v>1438.52</v>
      </c>
      <c r="Q207" s="109">
        <v>1348.57</v>
      </c>
      <c r="R207" s="109">
        <v>10231.06</v>
      </c>
    </row>
    <row r="208" spans="1:18" x14ac:dyDescent="0.3">
      <c r="A208" s="116" t="s">
        <v>371</v>
      </c>
      <c r="B208" s="116" t="s">
        <v>322</v>
      </c>
      <c r="C208" s="116"/>
      <c r="D208" s="116" t="s">
        <v>399</v>
      </c>
      <c r="E208" s="116" t="s">
        <v>419</v>
      </c>
      <c r="F208" s="116">
        <v>40</v>
      </c>
      <c r="G208" s="117">
        <v>7295.92</v>
      </c>
      <c r="H208" s="116">
        <v>0</v>
      </c>
      <c r="I208" s="116" t="s">
        <v>322</v>
      </c>
      <c r="J208" s="117">
        <v>0</v>
      </c>
      <c r="K208" s="117">
        <v>0</v>
      </c>
      <c r="L208" s="117">
        <v>0</v>
      </c>
      <c r="M208" s="117">
        <v>0</v>
      </c>
      <c r="N208" s="117">
        <v>0</v>
      </c>
      <c r="O208" s="117">
        <v>2635.01</v>
      </c>
      <c r="P208" s="109">
        <v>860.34</v>
      </c>
      <c r="Q208" s="109">
        <v>949.37</v>
      </c>
      <c r="R208" s="109">
        <v>8121.22</v>
      </c>
    </row>
    <row r="209" spans="1:18" x14ac:dyDescent="0.3">
      <c r="A209" s="116" t="s">
        <v>371</v>
      </c>
      <c r="B209" s="116" t="s">
        <v>322</v>
      </c>
      <c r="C209" s="116" t="s">
        <v>467</v>
      </c>
      <c r="D209" s="116" t="s">
        <v>399</v>
      </c>
      <c r="E209" s="116" t="s">
        <v>325</v>
      </c>
      <c r="F209" s="116">
        <v>40</v>
      </c>
      <c r="G209" s="117">
        <v>10266.07</v>
      </c>
      <c r="H209" s="116">
        <v>0</v>
      </c>
      <c r="I209" s="116" t="s">
        <v>322</v>
      </c>
      <c r="J209" s="117">
        <v>0</v>
      </c>
      <c r="K209" s="117">
        <v>0</v>
      </c>
      <c r="L209" s="117">
        <v>0</v>
      </c>
      <c r="M209" s="117">
        <v>0</v>
      </c>
      <c r="N209" s="117">
        <v>0</v>
      </c>
      <c r="O209" s="117">
        <v>1610.29</v>
      </c>
      <c r="P209" s="109">
        <v>1728.04</v>
      </c>
      <c r="Q209" s="109">
        <v>764.24</v>
      </c>
      <c r="R209" s="109">
        <v>9384.08</v>
      </c>
    </row>
    <row r="210" spans="1:18" x14ac:dyDescent="0.3">
      <c r="A210" s="116" t="s">
        <v>371</v>
      </c>
      <c r="B210" s="116" t="s">
        <v>322</v>
      </c>
      <c r="C210" s="116"/>
      <c r="D210" s="116" t="s">
        <v>399</v>
      </c>
      <c r="E210" s="116" t="s">
        <v>468</v>
      </c>
      <c r="F210" s="116">
        <v>40</v>
      </c>
      <c r="G210" s="117">
        <v>8029.97</v>
      </c>
      <c r="H210" s="116">
        <v>0</v>
      </c>
      <c r="I210" s="116" t="s">
        <v>322</v>
      </c>
      <c r="J210" s="117">
        <v>0</v>
      </c>
      <c r="K210" s="117">
        <v>0</v>
      </c>
      <c r="L210" s="117">
        <v>0</v>
      </c>
      <c r="M210" s="117">
        <v>0</v>
      </c>
      <c r="N210" s="117">
        <v>0</v>
      </c>
      <c r="O210" s="117">
        <v>3366.96</v>
      </c>
      <c r="P210" s="109">
        <v>1030.2</v>
      </c>
      <c r="Q210" s="109">
        <v>1065.76</v>
      </c>
      <c r="R210" s="109">
        <v>9300.9699999999993</v>
      </c>
    </row>
    <row r="211" spans="1:18" x14ac:dyDescent="0.3">
      <c r="A211" s="116" t="s">
        <v>371</v>
      </c>
      <c r="B211" s="116" t="s">
        <v>322</v>
      </c>
      <c r="C211" s="116"/>
      <c r="D211" s="116" t="s">
        <v>399</v>
      </c>
      <c r="E211" s="116" t="s">
        <v>402</v>
      </c>
      <c r="F211" s="116">
        <v>40</v>
      </c>
      <c r="G211" s="117">
        <v>15498.06</v>
      </c>
      <c r="H211" s="116">
        <v>0</v>
      </c>
      <c r="I211" s="116" t="s">
        <v>322</v>
      </c>
      <c r="J211" s="117">
        <v>0</v>
      </c>
      <c r="K211" s="117">
        <v>0</v>
      </c>
      <c r="L211" s="117">
        <v>0</v>
      </c>
      <c r="M211" s="117">
        <v>0</v>
      </c>
      <c r="N211" s="117">
        <v>0</v>
      </c>
      <c r="O211" s="117">
        <v>3074.19</v>
      </c>
      <c r="P211" s="109">
        <v>2937.53</v>
      </c>
      <c r="Q211" s="109">
        <v>1598.11</v>
      </c>
      <c r="R211" s="109">
        <v>14036.61</v>
      </c>
    </row>
    <row r="212" spans="1:18" x14ac:dyDescent="0.3">
      <c r="A212" s="116" t="s">
        <v>371</v>
      </c>
      <c r="B212" s="116" t="s">
        <v>322</v>
      </c>
      <c r="C212" s="116" t="s">
        <v>382</v>
      </c>
      <c r="D212" s="116" t="s">
        <v>399</v>
      </c>
      <c r="E212" s="116" t="s">
        <v>469</v>
      </c>
      <c r="F212" s="116">
        <v>40</v>
      </c>
      <c r="G212" s="117">
        <v>11472.96</v>
      </c>
      <c r="H212" s="116">
        <v>0</v>
      </c>
      <c r="I212" s="116" t="s">
        <v>322</v>
      </c>
      <c r="J212" s="117">
        <v>0</v>
      </c>
      <c r="K212" s="117">
        <v>0</v>
      </c>
      <c r="L212" s="117">
        <v>0</v>
      </c>
      <c r="M212" s="117">
        <v>0</v>
      </c>
      <c r="N212" s="117">
        <v>0</v>
      </c>
      <c r="O212" s="117">
        <v>3366.96</v>
      </c>
      <c r="P212" s="109">
        <v>1903.31</v>
      </c>
      <c r="Q212" s="109">
        <v>765.04</v>
      </c>
      <c r="R212" s="109">
        <v>12171.57</v>
      </c>
    </row>
    <row r="213" spans="1:18" x14ac:dyDescent="0.3">
      <c r="A213" s="116" t="s">
        <v>371</v>
      </c>
      <c r="B213" s="116" t="s">
        <v>322</v>
      </c>
      <c r="C213" s="116"/>
      <c r="D213" s="116" t="s">
        <v>399</v>
      </c>
      <c r="E213" s="116" t="s">
        <v>470</v>
      </c>
      <c r="F213" s="116">
        <v>40</v>
      </c>
      <c r="G213" s="117">
        <v>10253.69</v>
      </c>
      <c r="H213" s="116">
        <v>0</v>
      </c>
      <c r="I213" s="116" t="s">
        <v>322</v>
      </c>
      <c r="J213" s="117">
        <v>0</v>
      </c>
      <c r="K213" s="117">
        <v>0</v>
      </c>
      <c r="L213" s="117">
        <v>0</v>
      </c>
      <c r="M213" s="117">
        <v>0</v>
      </c>
      <c r="N213" s="117">
        <v>0</v>
      </c>
      <c r="O213" s="117">
        <v>878.34</v>
      </c>
      <c r="P213" s="109">
        <v>1543.88</v>
      </c>
      <c r="Q213" s="109">
        <v>1421.55</v>
      </c>
      <c r="R213" s="109">
        <v>8166.6</v>
      </c>
    </row>
    <row r="214" spans="1:18" x14ac:dyDescent="0.3">
      <c r="A214" s="116" t="s">
        <v>371</v>
      </c>
      <c r="B214" s="116" t="s">
        <v>322</v>
      </c>
      <c r="C214" s="116"/>
      <c r="D214" s="116" t="s">
        <v>399</v>
      </c>
      <c r="E214" s="116" t="s">
        <v>435</v>
      </c>
      <c r="F214" s="116">
        <v>40</v>
      </c>
      <c r="G214" s="117">
        <v>8780.1299999999992</v>
      </c>
      <c r="H214" s="116">
        <v>0</v>
      </c>
      <c r="I214" s="116" t="s">
        <v>322</v>
      </c>
      <c r="J214" s="117">
        <v>0</v>
      </c>
      <c r="K214" s="117">
        <v>0</v>
      </c>
      <c r="L214" s="117">
        <v>0</v>
      </c>
      <c r="M214" s="117">
        <v>0</v>
      </c>
      <c r="N214" s="117">
        <v>0</v>
      </c>
      <c r="O214" s="117">
        <v>3074.19</v>
      </c>
      <c r="P214" s="109">
        <v>1237.58</v>
      </c>
      <c r="Q214" s="109">
        <v>1061.8</v>
      </c>
      <c r="R214" s="109">
        <v>9554.94</v>
      </c>
    </row>
    <row r="215" spans="1:18" x14ac:dyDescent="0.3">
      <c r="A215" s="116" t="s">
        <v>371</v>
      </c>
      <c r="B215" s="116" t="s">
        <v>322</v>
      </c>
      <c r="C215" s="116"/>
      <c r="D215" s="116" t="s">
        <v>399</v>
      </c>
      <c r="E215" s="116" t="s">
        <v>434</v>
      </c>
      <c r="F215" s="116">
        <v>40</v>
      </c>
      <c r="G215" s="117">
        <v>8828.07</v>
      </c>
      <c r="H215" s="116">
        <v>0</v>
      </c>
      <c r="I215" s="116" t="s">
        <v>322</v>
      </c>
      <c r="J215" s="117">
        <v>0</v>
      </c>
      <c r="K215" s="117">
        <v>0</v>
      </c>
      <c r="L215" s="117">
        <v>0</v>
      </c>
      <c r="M215" s="117">
        <v>0</v>
      </c>
      <c r="N215" s="117">
        <v>0</v>
      </c>
      <c r="O215" s="117">
        <v>3366.96</v>
      </c>
      <c r="P215" s="109">
        <v>1144.3800000000001</v>
      </c>
      <c r="Q215" s="109">
        <v>1069.47</v>
      </c>
      <c r="R215" s="109">
        <v>9981.18</v>
      </c>
    </row>
    <row r="216" spans="1:18" x14ac:dyDescent="0.3">
      <c r="A216" s="116" t="s">
        <v>371</v>
      </c>
      <c r="B216" s="116" t="s">
        <v>322</v>
      </c>
      <c r="C216" s="116"/>
      <c r="D216" s="116" t="s">
        <v>399</v>
      </c>
      <c r="E216" s="116" t="s">
        <v>462</v>
      </c>
      <c r="F216" s="116">
        <v>40</v>
      </c>
      <c r="G216" s="117">
        <v>9371.1299999999992</v>
      </c>
      <c r="H216" s="116">
        <v>0</v>
      </c>
      <c r="I216" s="116" t="s">
        <v>322</v>
      </c>
      <c r="J216" s="117">
        <v>0</v>
      </c>
      <c r="K216" s="117">
        <v>0</v>
      </c>
      <c r="L216" s="117">
        <v>0</v>
      </c>
      <c r="M216" s="117">
        <v>0</v>
      </c>
      <c r="N216" s="117">
        <v>0</v>
      </c>
      <c r="O216" s="117">
        <v>1903.06</v>
      </c>
      <c r="P216" s="109">
        <v>1340.01</v>
      </c>
      <c r="Q216" s="109">
        <v>1280.3399999999999</v>
      </c>
      <c r="R216" s="109">
        <v>8653.84</v>
      </c>
    </row>
    <row r="217" spans="1:18" x14ac:dyDescent="0.3">
      <c r="A217" s="116" t="s">
        <v>371</v>
      </c>
      <c r="B217" s="116" t="s">
        <v>322</v>
      </c>
      <c r="C217" s="116"/>
      <c r="D217" s="116" t="s">
        <v>399</v>
      </c>
      <c r="E217" s="116" t="s">
        <v>402</v>
      </c>
      <c r="F217" s="116">
        <v>40</v>
      </c>
      <c r="G217" s="117">
        <v>13959.57</v>
      </c>
      <c r="H217" s="116">
        <v>0</v>
      </c>
      <c r="I217" s="116" t="s">
        <v>322</v>
      </c>
      <c r="J217" s="117">
        <v>0</v>
      </c>
      <c r="K217" s="117">
        <v>0</v>
      </c>
      <c r="L217" s="117">
        <v>0</v>
      </c>
      <c r="M217" s="117">
        <v>0</v>
      </c>
      <c r="N217" s="117">
        <v>0</v>
      </c>
      <c r="O217" s="117">
        <v>5088.68</v>
      </c>
      <c r="P217" s="109">
        <v>2953.92</v>
      </c>
      <c r="Q217" s="109">
        <v>2014.49</v>
      </c>
      <c r="R217" s="109">
        <v>14079.84</v>
      </c>
    </row>
    <row r="218" spans="1:18" x14ac:dyDescent="0.3">
      <c r="A218" s="116" t="s">
        <v>371</v>
      </c>
      <c r="B218" s="116" t="s">
        <v>322</v>
      </c>
      <c r="C218" s="116"/>
      <c r="D218" s="116" t="s">
        <v>399</v>
      </c>
      <c r="E218" s="116" t="s">
        <v>468</v>
      </c>
      <c r="F218" s="116">
        <v>40</v>
      </c>
      <c r="G218" s="117">
        <v>14427.55</v>
      </c>
      <c r="H218" s="116">
        <v>0</v>
      </c>
      <c r="I218" s="116" t="s">
        <v>322</v>
      </c>
      <c r="J218" s="117">
        <v>0</v>
      </c>
      <c r="K218" s="117">
        <v>0</v>
      </c>
      <c r="L218" s="117">
        <v>0</v>
      </c>
      <c r="M218" s="117">
        <v>0</v>
      </c>
      <c r="N218" s="117">
        <v>0</v>
      </c>
      <c r="O218" s="117">
        <v>1903.06</v>
      </c>
      <c r="P218" s="109">
        <v>2760.38</v>
      </c>
      <c r="Q218" s="109">
        <v>1363.86</v>
      </c>
      <c r="R218" s="109">
        <v>12206.37</v>
      </c>
    </row>
    <row r="219" spans="1:18" x14ac:dyDescent="0.3">
      <c r="A219" s="116" t="s">
        <v>371</v>
      </c>
      <c r="B219" s="116" t="s">
        <v>322</v>
      </c>
      <c r="C219" s="116"/>
      <c r="D219" s="116" t="s">
        <v>399</v>
      </c>
      <c r="E219" s="116" t="s">
        <v>471</v>
      </c>
      <c r="F219" s="116">
        <v>40</v>
      </c>
      <c r="G219" s="117">
        <v>9852.39</v>
      </c>
      <c r="H219" s="116">
        <v>0</v>
      </c>
      <c r="I219" s="116" t="s">
        <v>322</v>
      </c>
      <c r="J219" s="117">
        <v>0</v>
      </c>
      <c r="K219" s="117">
        <v>0</v>
      </c>
      <c r="L219" s="117">
        <v>0</v>
      </c>
      <c r="M219" s="117">
        <v>0</v>
      </c>
      <c r="N219" s="117">
        <v>0</v>
      </c>
      <c r="O219" s="117">
        <v>1610.29</v>
      </c>
      <c r="P219" s="109">
        <v>1613.19</v>
      </c>
      <c r="Q219" s="109">
        <v>768.23</v>
      </c>
      <c r="R219" s="109">
        <v>9081.26</v>
      </c>
    </row>
    <row r="220" spans="1:18" x14ac:dyDescent="0.3">
      <c r="A220" s="116" t="s">
        <v>371</v>
      </c>
      <c r="B220" s="116" t="s">
        <v>322</v>
      </c>
      <c r="C220" s="116" t="s">
        <v>350</v>
      </c>
      <c r="D220" s="116" t="s">
        <v>399</v>
      </c>
      <c r="E220" s="116" t="s">
        <v>415</v>
      </c>
      <c r="F220" s="116">
        <v>40</v>
      </c>
      <c r="G220" s="117">
        <v>11802.88</v>
      </c>
      <c r="H220" s="116">
        <v>0</v>
      </c>
      <c r="I220" s="116" t="s">
        <v>322</v>
      </c>
      <c r="J220" s="117">
        <v>0</v>
      </c>
      <c r="K220" s="117">
        <v>0</v>
      </c>
      <c r="L220" s="117">
        <v>0</v>
      </c>
      <c r="M220" s="117">
        <v>0</v>
      </c>
      <c r="N220" s="117">
        <v>0</v>
      </c>
      <c r="O220" s="117">
        <v>1903.06</v>
      </c>
      <c r="P220" s="109">
        <v>2025.64</v>
      </c>
      <c r="Q220" s="109">
        <v>1218.8599999999999</v>
      </c>
      <c r="R220" s="109">
        <v>10461.44</v>
      </c>
    </row>
    <row r="221" spans="1:18" x14ac:dyDescent="0.3">
      <c r="A221" s="116" t="s">
        <v>371</v>
      </c>
      <c r="B221" s="116" t="s">
        <v>322</v>
      </c>
      <c r="C221" s="116"/>
      <c r="D221" s="116" t="s">
        <v>399</v>
      </c>
      <c r="E221" s="116" t="s">
        <v>472</v>
      </c>
      <c r="F221" s="116">
        <v>40</v>
      </c>
      <c r="G221" s="117">
        <v>9627.07</v>
      </c>
      <c r="H221" s="116">
        <v>0</v>
      </c>
      <c r="I221" s="116" t="s">
        <v>322</v>
      </c>
      <c r="J221" s="117">
        <v>0</v>
      </c>
      <c r="K221" s="117">
        <v>0</v>
      </c>
      <c r="L221" s="117">
        <v>0</v>
      </c>
      <c r="M221" s="117">
        <v>0</v>
      </c>
      <c r="N221" s="117">
        <v>0</v>
      </c>
      <c r="O221" s="117">
        <v>3366.96</v>
      </c>
      <c r="P221" s="109">
        <v>1576.64</v>
      </c>
      <c r="Q221" s="109">
        <v>675.78</v>
      </c>
      <c r="R221" s="109">
        <v>10741.61</v>
      </c>
    </row>
    <row r="222" spans="1:18" x14ac:dyDescent="0.3">
      <c r="A222" s="116" t="s">
        <v>371</v>
      </c>
      <c r="B222" s="116" t="s">
        <v>322</v>
      </c>
      <c r="C222" s="116"/>
      <c r="D222" s="116" t="s">
        <v>399</v>
      </c>
      <c r="E222" s="116" t="s">
        <v>423</v>
      </c>
      <c r="F222" s="116">
        <v>40</v>
      </c>
      <c r="G222" s="117">
        <v>7644.83</v>
      </c>
      <c r="H222" s="116">
        <v>0</v>
      </c>
      <c r="I222" s="116" t="s">
        <v>322</v>
      </c>
      <c r="J222" s="117">
        <v>0</v>
      </c>
      <c r="K222" s="117">
        <v>0</v>
      </c>
      <c r="L222" s="117">
        <v>0</v>
      </c>
      <c r="M222" s="117">
        <v>0</v>
      </c>
      <c r="N222" s="117">
        <v>0</v>
      </c>
      <c r="O222" s="117">
        <v>814.63</v>
      </c>
      <c r="P222" s="109">
        <v>923.71</v>
      </c>
      <c r="Q222" s="109">
        <v>1004.13</v>
      </c>
      <c r="R222" s="109">
        <v>6531.62</v>
      </c>
    </row>
    <row r="223" spans="1:18" x14ac:dyDescent="0.3">
      <c r="A223" s="116" t="s">
        <v>371</v>
      </c>
      <c r="B223" s="116" t="s">
        <v>322</v>
      </c>
      <c r="C223" s="116"/>
      <c r="D223" s="116" t="s">
        <v>399</v>
      </c>
      <c r="E223" s="116" t="s">
        <v>435</v>
      </c>
      <c r="F223" s="116">
        <v>40</v>
      </c>
      <c r="G223" s="117">
        <v>13893.27</v>
      </c>
      <c r="H223" s="116">
        <v>0</v>
      </c>
      <c r="I223" s="116" t="s">
        <v>322</v>
      </c>
      <c r="J223" s="117">
        <v>0</v>
      </c>
      <c r="K223" s="117">
        <v>0</v>
      </c>
      <c r="L223" s="117">
        <v>0</v>
      </c>
      <c r="M223" s="117">
        <v>0</v>
      </c>
      <c r="N223" s="117">
        <v>0</v>
      </c>
      <c r="O223" s="117">
        <v>3614.16</v>
      </c>
      <c r="P223" s="109">
        <v>2935.69</v>
      </c>
      <c r="Q223" s="109">
        <v>2003.88</v>
      </c>
      <c r="R223" s="109">
        <v>12567.86</v>
      </c>
    </row>
    <row r="224" spans="1:18" x14ac:dyDescent="0.3">
      <c r="A224" s="116" t="s">
        <v>371</v>
      </c>
      <c r="B224" s="116" t="s">
        <v>322</v>
      </c>
      <c r="C224" s="116"/>
      <c r="D224" s="116" t="s">
        <v>399</v>
      </c>
      <c r="E224" s="116" t="s">
        <v>473</v>
      </c>
      <c r="F224" s="116">
        <v>40</v>
      </c>
      <c r="G224" s="117">
        <v>8057.67</v>
      </c>
      <c r="H224" s="116">
        <v>0</v>
      </c>
      <c r="I224" s="116" t="s">
        <v>322</v>
      </c>
      <c r="J224" s="117">
        <v>0</v>
      </c>
      <c r="K224" s="117">
        <v>0</v>
      </c>
      <c r="L224" s="117">
        <v>0</v>
      </c>
      <c r="M224" s="117">
        <v>0</v>
      </c>
      <c r="N224" s="117">
        <v>0</v>
      </c>
      <c r="O224" s="117">
        <v>1610.29</v>
      </c>
      <c r="P224" s="109">
        <v>932.32</v>
      </c>
      <c r="Q224" s="109">
        <v>1070.19</v>
      </c>
      <c r="R224" s="109">
        <v>7665.45</v>
      </c>
    </row>
    <row r="225" spans="1:18" x14ac:dyDescent="0.3">
      <c r="A225" s="116" t="s">
        <v>371</v>
      </c>
      <c r="B225" s="116" t="s">
        <v>322</v>
      </c>
      <c r="C225" s="116" t="s">
        <v>464</v>
      </c>
      <c r="D225" s="116" t="s">
        <v>399</v>
      </c>
      <c r="E225" s="116" t="s">
        <v>325</v>
      </c>
      <c r="F225" s="116">
        <v>40</v>
      </c>
      <c r="G225" s="117">
        <v>11037.09</v>
      </c>
      <c r="H225" s="116">
        <v>0</v>
      </c>
      <c r="I225" s="116" t="s">
        <v>322</v>
      </c>
      <c r="J225" s="117">
        <v>0</v>
      </c>
      <c r="K225" s="117">
        <v>0</v>
      </c>
      <c r="L225" s="117">
        <v>0</v>
      </c>
      <c r="M225" s="117">
        <v>0</v>
      </c>
      <c r="N225" s="117">
        <v>0</v>
      </c>
      <c r="O225" s="117">
        <v>2488.63</v>
      </c>
      <c r="P225" s="109">
        <v>1776.95</v>
      </c>
      <c r="Q225" s="109">
        <v>1357.41</v>
      </c>
      <c r="R225" s="109">
        <v>10391.36</v>
      </c>
    </row>
    <row r="226" spans="1:18" x14ac:dyDescent="0.3">
      <c r="A226" s="116" t="s">
        <v>371</v>
      </c>
      <c r="B226" s="116" t="s">
        <v>322</v>
      </c>
      <c r="C226" s="116"/>
      <c r="D226" s="116" t="s">
        <v>399</v>
      </c>
      <c r="E226" s="116" t="s">
        <v>434</v>
      </c>
      <c r="F226" s="116">
        <v>40</v>
      </c>
      <c r="G226" s="117">
        <v>10617.5</v>
      </c>
      <c r="H226" s="116">
        <v>0</v>
      </c>
      <c r="I226" s="116" t="s">
        <v>322</v>
      </c>
      <c r="J226" s="117">
        <v>0</v>
      </c>
      <c r="K226" s="117">
        <v>0</v>
      </c>
      <c r="L226" s="117">
        <v>0</v>
      </c>
      <c r="M226" s="117">
        <v>0</v>
      </c>
      <c r="N226" s="117">
        <v>0</v>
      </c>
      <c r="O226" s="117">
        <v>3220.57</v>
      </c>
      <c r="P226" s="109">
        <v>1575.78</v>
      </c>
      <c r="Q226" s="109">
        <v>1479.76</v>
      </c>
      <c r="R226" s="109">
        <v>10782.53</v>
      </c>
    </row>
    <row r="227" spans="1:18" x14ac:dyDescent="0.3">
      <c r="A227" s="116" t="s">
        <v>371</v>
      </c>
      <c r="B227" s="116" t="s">
        <v>322</v>
      </c>
      <c r="C227" s="116"/>
      <c r="D227" s="116" t="s">
        <v>399</v>
      </c>
      <c r="E227" s="116" t="s">
        <v>434</v>
      </c>
      <c r="F227" s="116">
        <v>40</v>
      </c>
      <c r="G227" s="117">
        <v>15606.23</v>
      </c>
      <c r="H227" s="116">
        <v>0</v>
      </c>
      <c r="I227" s="116" t="s">
        <v>322</v>
      </c>
      <c r="J227" s="117">
        <v>0</v>
      </c>
      <c r="K227" s="117">
        <v>0</v>
      </c>
      <c r="L227" s="117">
        <v>0</v>
      </c>
      <c r="M227" s="117">
        <v>0</v>
      </c>
      <c r="N227" s="117">
        <v>0</v>
      </c>
      <c r="O227" s="117">
        <v>3366.96</v>
      </c>
      <c r="P227" s="109">
        <v>3136.66</v>
      </c>
      <c r="Q227" s="109">
        <v>1589.56</v>
      </c>
      <c r="R227" s="109">
        <v>14246.97</v>
      </c>
    </row>
    <row r="228" spans="1:18" x14ac:dyDescent="0.3">
      <c r="A228" s="116" t="s">
        <v>371</v>
      </c>
      <c r="B228" s="116" t="s">
        <v>322</v>
      </c>
      <c r="C228" s="116"/>
      <c r="D228" s="116" t="s">
        <v>399</v>
      </c>
      <c r="E228" s="116" t="s">
        <v>474</v>
      </c>
      <c r="F228" s="116">
        <v>40</v>
      </c>
      <c r="G228" s="117">
        <v>10763.96</v>
      </c>
      <c r="H228" s="116">
        <v>0</v>
      </c>
      <c r="I228" s="116" t="s">
        <v>322</v>
      </c>
      <c r="J228" s="117">
        <v>0</v>
      </c>
      <c r="K228" s="117">
        <v>0</v>
      </c>
      <c r="L228" s="117">
        <v>0</v>
      </c>
      <c r="M228" s="117">
        <v>0</v>
      </c>
      <c r="N228" s="117">
        <v>0</v>
      </c>
      <c r="O228" s="117">
        <v>892.68</v>
      </c>
      <c r="P228" s="109">
        <v>1563.5</v>
      </c>
      <c r="Q228" s="109">
        <v>763.69</v>
      </c>
      <c r="R228" s="109">
        <v>9329.4500000000007</v>
      </c>
    </row>
    <row r="229" spans="1:18" x14ac:dyDescent="0.3">
      <c r="A229" s="116" t="s">
        <v>371</v>
      </c>
      <c r="B229" s="116" t="s">
        <v>322</v>
      </c>
      <c r="C229" s="116"/>
      <c r="D229" s="116" t="s">
        <v>399</v>
      </c>
      <c r="E229" s="116" t="s">
        <v>475</v>
      </c>
      <c r="F229" s="116">
        <v>40</v>
      </c>
      <c r="G229" s="117">
        <v>11439.03</v>
      </c>
      <c r="H229" s="116">
        <v>0</v>
      </c>
      <c r="I229" s="116" t="s">
        <v>322</v>
      </c>
      <c r="J229" s="117">
        <v>0</v>
      </c>
      <c r="K229" s="117">
        <v>0</v>
      </c>
      <c r="L229" s="117">
        <v>0</v>
      </c>
      <c r="M229" s="117">
        <v>0</v>
      </c>
      <c r="N229" s="117">
        <v>0</v>
      </c>
      <c r="O229" s="117">
        <v>3366.96</v>
      </c>
      <c r="P229" s="109">
        <v>1842.74</v>
      </c>
      <c r="Q229" s="109">
        <v>1464.91</v>
      </c>
      <c r="R229" s="109">
        <v>11498.34</v>
      </c>
    </row>
    <row r="230" spans="1:18" x14ac:dyDescent="0.3">
      <c r="A230" s="116" t="s">
        <v>371</v>
      </c>
      <c r="B230" s="116" t="s">
        <v>322</v>
      </c>
      <c r="C230" s="116"/>
      <c r="D230" s="116" t="s">
        <v>399</v>
      </c>
      <c r="E230" s="116" t="s">
        <v>420</v>
      </c>
      <c r="F230" s="116">
        <v>40</v>
      </c>
      <c r="G230" s="117">
        <v>6030.86</v>
      </c>
      <c r="H230" s="116">
        <v>0</v>
      </c>
      <c r="I230" s="116" t="s">
        <v>322</v>
      </c>
      <c r="J230" s="117">
        <v>2010.29</v>
      </c>
      <c r="K230" s="117">
        <v>0</v>
      </c>
      <c r="L230" s="117">
        <v>0</v>
      </c>
      <c r="M230" s="117">
        <v>0</v>
      </c>
      <c r="N230" s="117">
        <v>0</v>
      </c>
      <c r="O230" s="117">
        <v>3373.04</v>
      </c>
      <c r="P230" s="109">
        <v>565.36</v>
      </c>
      <c r="Q230" s="109">
        <v>756.97</v>
      </c>
      <c r="R230" s="109">
        <v>10091.86</v>
      </c>
    </row>
    <row r="231" spans="1:18" x14ac:dyDescent="0.3">
      <c r="A231" s="116" t="s">
        <v>371</v>
      </c>
      <c r="B231" s="116" t="s">
        <v>322</v>
      </c>
      <c r="C231" s="116"/>
      <c r="D231" s="116" t="s">
        <v>399</v>
      </c>
      <c r="E231" s="116" t="s">
        <v>455</v>
      </c>
      <c r="F231" s="116">
        <v>40</v>
      </c>
      <c r="G231" s="117">
        <v>7321.06</v>
      </c>
      <c r="H231" s="116">
        <v>0</v>
      </c>
      <c r="I231" s="116" t="s">
        <v>322</v>
      </c>
      <c r="J231" s="117">
        <v>0</v>
      </c>
      <c r="K231" s="117">
        <v>0</v>
      </c>
      <c r="L231" s="117">
        <v>0</v>
      </c>
      <c r="M231" s="117">
        <v>0</v>
      </c>
      <c r="N231" s="117">
        <v>0</v>
      </c>
      <c r="O231" s="117">
        <v>3366.96</v>
      </c>
      <c r="P231" s="109">
        <v>866.18</v>
      </c>
      <c r="Q231" s="109">
        <v>953.26</v>
      </c>
      <c r="R231" s="109">
        <v>8868.58</v>
      </c>
    </row>
    <row r="232" spans="1:18" x14ac:dyDescent="0.3">
      <c r="A232" s="116" t="s">
        <v>371</v>
      </c>
      <c r="B232" s="116" t="s">
        <v>322</v>
      </c>
      <c r="C232" s="116"/>
      <c r="D232" s="116" t="s">
        <v>399</v>
      </c>
      <c r="E232" s="116" t="s">
        <v>424</v>
      </c>
      <c r="F232" s="116">
        <v>40</v>
      </c>
      <c r="G232" s="117">
        <v>9394.11</v>
      </c>
      <c r="H232" s="116">
        <v>0</v>
      </c>
      <c r="I232" s="116" t="s">
        <v>322</v>
      </c>
      <c r="J232" s="117">
        <v>0</v>
      </c>
      <c r="K232" s="117">
        <v>0</v>
      </c>
      <c r="L232" s="117">
        <v>0</v>
      </c>
      <c r="M232" s="117">
        <v>0</v>
      </c>
      <c r="N232" s="117">
        <v>0</v>
      </c>
      <c r="O232" s="117">
        <v>2488.62</v>
      </c>
      <c r="P232" s="109">
        <v>743.69</v>
      </c>
      <c r="Q232" s="109">
        <v>699.48</v>
      </c>
      <c r="R232" s="109">
        <v>10439.56</v>
      </c>
    </row>
    <row r="233" spans="1:18" x14ac:dyDescent="0.3">
      <c r="A233" s="116" t="s">
        <v>371</v>
      </c>
      <c r="B233" s="116" t="s">
        <v>322</v>
      </c>
      <c r="C233" s="116" t="s">
        <v>464</v>
      </c>
      <c r="D233" s="116" t="s">
        <v>399</v>
      </c>
      <c r="E233" s="116" t="s">
        <v>325</v>
      </c>
      <c r="F233" s="116">
        <v>40</v>
      </c>
      <c r="G233" s="117">
        <v>10686.82</v>
      </c>
      <c r="H233" s="116">
        <v>0</v>
      </c>
      <c r="I233" s="116" t="s">
        <v>322</v>
      </c>
      <c r="J233" s="117">
        <v>0</v>
      </c>
      <c r="K233" s="117">
        <v>0</v>
      </c>
      <c r="L233" s="117">
        <v>0</v>
      </c>
      <c r="M233" s="117">
        <v>0</v>
      </c>
      <c r="N233" s="117">
        <v>0</v>
      </c>
      <c r="O233" s="117">
        <v>3074.19</v>
      </c>
      <c r="P233" s="109">
        <v>1665.24</v>
      </c>
      <c r="Q233" s="109">
        <v>1413.37</v>
      </c>
      <c r="R233" s="109">
        <v>10682.4</v>
      </c>
    </row>
    <row r="234" spans="1:18" x14ac:dyDescent="0.3">
      <c r="A234" s="116" t="s">
        <v>371</v>
      </c>
      <c r="B234" s="116" t="s">
        <v>322</v>
      </c>
      <c r="C234" s="116" t="s">
        <v>375</v>
      </c>
      <c r="D234" s="116" t="s">
        <v>399</v>
      </c>
      <c r="E234" s="116" t="s">
        <v>387</v>
      </c>
      <c r="F234" s="116">
        <v>40</v>
      </c>
      <c r="G234" s="117">
        <v>11732.07</v>
      </c>
      <c r="H234" s="116">
        <v>0</v>
      </c>
      <c r="I234" s="116" t="s">
        <v>322</v>
      </c>
      <c r="J234" s="117">
        <v>0</v>
      </c>
      <c r="K234" s="117">
        <v>0</v>
      </c>
      <c r="L234" s="117">
        <v>0</v>
      </c>
      <c r="M234" s="117">
        <v>0</v>
      </c>
      <c r="N234" s="117">
        <v>0</v>
      </c>
      <c r="O234" s="117">
        <v>2927.8</v>
      </c>
      <c r="P234" s="109">
        <v>2078.84</v>
      </c>
      <c r="Q234" s="109">
        <v>954.6</v>
      </c>
      <c r="R234" s="109">
        <v>11626.43</v>
      </c>
    </row>
    <row r="235" spans="1:18" x14ac:dyDescent="0.3">
      <c r="A235" s="116" t="s">
        <v>371</v>
      </c>
      <c r="B235" s="116" t="s">
        <v>322</v>
      </c>
      <c r="C235" s="116"/>
      <c r="D235" s="116" t="s">
        <v>399</v>
      </c>
      <c r="E235" s="116" t="s">
        <v>476</v>
      </c>
      <c r="F235" s="116">
        <v>40</v>
      </c>
      <c r="G235" s="117">
        <v>15059.26</v>
      </c>
      <c r="H235" s="116">
        <v>0</v>
      </c>
      <c r="I235" s="116" t="s">
        <v>322</v>
      </c>
      <c r="J235" s="117">
        <v>0</v>
      </c>
      <c r="K235" s="117">
        <v>0</v>
      </c>
      <c r="L235" s="117">
        <v>0</v>
      </c>
      <c r="M235" s="117">
        <v>0</v>
      </c>
      <c r="N235" s="117">
        <v>0</v>
      </c>
      <c r="O235" s="117">
        <v>3220.57</v>
      </c>
      <c r="P235" s="109">
        <v>2708.64</v>
      </c>
      <c r="Q235" s="109">
        <v>1991.63</v>
      </c>
      <c r="R235" s="109">
        <v>13579.56</v>
      </c>
    </row>
    <row r="236" spans="1:18" x14ac:dyDescent="0.3">
      <c r="A236" s="116" t="s">
        <v>371</v>
      </c>
      <c r="B236" s="116" t="s">
        <v>322</v>
      </c>
      <c r="C236" s="116"/>
      <c r="D236" s="116" t="s">
        <v>399</v>
      </c>
      <c r="E236" s="116" t="s">
        <v>477</v>
      </c>
      <c r="F236" s="116">
        <v>40</v>
      </c>
      <c r="G236" s="117">
        <v>11251.1</v>
      </c>
      <c r="H236" s="116">
        <v>0</v>
      </c>
      <c r="I236" s="116" t="s">
        <v>322</v>
      </c>
      <c r="J236" s="117">
        <v>0</v>
      </c>
      <c r="K236" s="117">
        <v>0</v>
      </c>
      <c r="L236" s="117">
        <v>0</v>
      </c>
      <c r="M236" s="117">
        <v>0</v>
      </c>
      <c r="N236" s="117">
        <v>0</v>
      </c>
      <c r="O236" s="117">
        <v>292.77</v>
      </c>
      <c r="P236" s="109">
        <v>1925.62</v>
      </c>
      <c r="Q236" s="109">
        <v>841.23</v>
      </c>
      <c r="R236" s="109">
        <v>8777.02</v>
      </c>
    </row>
    <row r="237" spans="1:18" x14ac:dyDescent="0.3">
      <c r="A237" s="116" t="s">
        <v>371</v>
      </c>
      <c r="B237" s="116" t="s">
        <v>322</v>
      </c>
      <c r="C237" s="116"/>
      <c r="D237" s="116" t="s">
        <v>399</v>
      </c>
      <c r="E237" s="116" t="s">
        <v>408</v>
      </c>
      <c r="F237" s="116">
        <v>40</v>
      </c>
      <c r="G237" s="117">
        <v>12220.13</v>
      </c>
      <c r="H237" s="116">
        <v>0</v>
      </c>
      <c r="I237" s="116" t="s">
        <v>322</v>
      </c>
      <c r="J237" s="117">
        <v>0</v>
      </c>
      <c r="K237" s="117">
        <v>0</v>
      </c>
      <c r="L237" s="117">
        <v>0</v>
      </c>
      <c r="M237" s="117">
        <v>0</v>
      </c>
      <c r="N237" s="117">
        <v>0</v>
      </c>
      <c r="O237" s="117">
        <v>1736.18</v>
      </c>
      <c r="P237" s="109">
        <v>2475.58</v>
      </c>
      <c r="Q237" s="109">
        <v>1736.18</v>
      </c>
      <c r="R237" s="109">
        <v>9744.5499999999993</v>
      </c>
    </row>
    <row r="238" spans="1:18" x14ac:dyDescent="0.3">
      <c r="A238" s="116" t="s">
        <v>371</v>
      </c>
      <c r="B238" s="116" t="s">
        <v>322</v>
      </c>
      <c r="C238" s="116"/>
      <c r="D238" s="116" t="s">
        <v>399</v>
      </c>
      <c r="E238" s="116" t="s">
        <v>408</v>
      </c>
      <c r="F238" s="116">
        <v>40</v>
      </c>
      <c r="G238" s="117">
        <v>7690.62</v>
      </c>
      <c r="H238" s="116">
        <v>0</v>
      </c>
      <c r="I238" s="116" t="s">
        <v>322</v>
      </c>
      <c r="J238" s="117">
        <v>0</v>
      </c>
      <c r="K238" s="117">
        <v>0</v>
      </c>
      <c r="L238" s="117">
        <v>0</v>
      </c>
      <c r="M238" s="117">
        <v>0</v>
      </c>
      <c r="N238" s="117">
        <v>0</v>
      </c>
      <c r="O238" s="117">
        <v>3366.96</v>
      </c>
      <c r="P238" s="109">
        <v>847.53</v>
      </c>
      <c r="Q238" s="109">
        <v>1011.46</v>
      </c>
      <c r="R238" s="109">
        <v>9198.59</v>
      </c>
    </row>
    <row r="239" spans="1:18" x14ac:dyDescent="0.3">
      <c r="A239" s="116" t="s">
        <v>371</v>
      </c>
      <c r="B239" s="116" t="s">
        <v>322</v>
      </c>
      <c r="C239" s="116"/>
      <c r="D239" s="116" t="s">
        <v>399</v>
      </c>
      <c r="E239" s="116" t="s">
        <v>478</v>
      </c>
      <c r="F239" s="116">
        <v>40</v>
      </c>
      <c r="G239" s="117">
        <v>20193.43</v>
      </c>
      <c r="H239" s="116">
        <v>0</v>
      </c>
      <c r="I239" s="116" t="s">
        <v>322</v>
      </c>
      <c r="J239" s="117">
        <v>0</v>
      </c>
      <c r="K239" s="117">
        <v>0</v>
      </c>
      <c r="L239" s="117">
        <v>0</v>
      </c>
      <c r="M239" s="117">
        <v>0</v>
      </c>
      <c r="N239" s="117">
        <v>0</v>
      </c>
      <c r="O239" s="117">
        <v>5931.7</v>
      </c>
      <c r="P239" s="109">
        <v>4668.2299999999996</v>
      </c>
      <c r="Q239" s="109">
        <v>2711.13</v>
      </c>
      <c r="R239" s="109">
        <v>18745.77</v>
      </c>
    </row>
    <row r="240" spans="1:18" x14ac:dyDescent="0.3">
      <c r="A240" s="116" t="s">
        <v>371</v>
      </c>
      <c r="B240" s="116" t="s">
        <v>322</v>
      </c>
      <c r="C240" s="116"/>
      <c r="D240" s="116" t="s">
        <v>399</v>
      </c>
      <c r="E240" s="116" t="s">
        <v>479</v>
      </c>
      <c r="F240" s="116">
        <v>40</v>
      </c>
      <c r="G240" s="117">
        <v>9609.3700000000008</v>
      </c>
      <c r="H240" s="116">
        <v>0</v>
      </c>
      <c r="I240" s="116" t="s">
        <v>322</v>
      </c>
      <c r="J240" s="117">
        <v>0</v>
      </c>
      <c r="K240" s="117">
        <v>0</v>
      </c>
      <c r="L240" s="117">
        <v>0</v>
      </c>
      <c r="M240" s="117">
        <v>0</v>
      </c>
      <c r="N240" s="117">
        <v>0</v>
      </c>
      <c r="O240" s="117">
        <v>0</v>
      </c>
      <c r="P240" s="109">
        <v>1395.04</v>
      </c>
      <c r="Q240" s="109">
        <v>1318.46</v>
      </c>
      <c r="R240" s="109">
        <v>6895.87</v>
      </c>
    </row>
    <row r="241" spans="1:18" x14ac:dyDescent="0.3">
      <c r="A241" s="116" t="s">
        <v>371</v>
      </c>
      <c r="B241" s="116" t="s">
        <v>322</v>
      </c>
      <c r="C241" s="116"/>
      <c r="D241" s="116" t="s">
        <v>399</v>
      </c>
      <c r="E241" s="116" t="s">
        <v>435</v>
      </c>
      <c r="F241" s="116">
        <v>40</v>
      </c>
      <c r="G241" s="117">
        <v>10805.45</v>
      </c>
      <c r="H241" s="116">
        <v>0</v>
      </c>
      <c r="I241" s="116" t="s">
        <v>322</v>
      </c>
      <c r="J241" s="117">
        <v>0</v>
      </c>
      <c r="K241" s="117">
        <v>0</v>
      </c>
      <c r="L241" s="117">
        <v>0</v>
      </c>
      <c r="M241" s="117">
        <v>0</v>
      </c>
      <c r="N241" s="117">
        <v>0</v>
      </c>
      <c r="O241" s="117">
        <v>2488.62</v>
      </c>
      <c r="P241" s="109">
        <v>597.24</v>
      </c>
      <c r="Q241" s="109">
        <v>1359.14</v>
      </c>
      <c r="R241" s="109">
        <v>11337.69</v>
      </c>
    </row>
    <row r="242" spans="1:18" x14ac:dyDescent="0.3">
      <c r="A242" s="116" t="s">
        <v>371</v>
      </c>
      <c r="B242" s="116" t="s">
        <v>322</v>
      </c>
      <c r="C242" s="116"/>
      <c r="D242" s="116" t="s">
        <v>399</v>
      </c>
      <c r="E242" s="116" t="s">
        <v>480</v>
      </c>
      <c r="F242" s="116">
        <v>40</v>
      </c>
      <c r="G242" s="117">
        <v>7016.53</v>
      </c>
      <c r="H242" s="116">
        <v>0</v>
      </c>
      <c r="I242" s="116" t="s">
        <v>322</v>
      </c>
      <c r="J242" s="117">
        <v>0</v>
      </c>
      <c r="K242" s="117">
        <v>0</v>
      </c>
      <c r="L242" s="117">
        <v>0</v>
      </c>
      <c r="M242" s="117">
        <v>0</v>
      </c>
      <c r="N242" s="117">
        <v>0</v>
      </c>
      <c r="O242" s="117">
        <v>3074.19</v>
      </c>
      <c r="P242" s="109">
        <v>795.42</v>
      </c>
      <c r="Q242" s="109">
        <v>906.06</v>
      </c>
      <c r="R242" s="109">
        <v>8389.24</v>
      </c>
    </row>
    <row r="243" spans="1:18" x14ac:dyDescent="0.3">
      <c r="A243" s="116" t="s">
        <v>371</v>
      </c>
      <c r="B243" s="116" t="s">
        <v>322</v>
      </c>
      <c r="C243" s="116"/>
      <c r="D243" s="116" t="s">
        <v>399</v>
      </c>
      <c r="E243" s="116" t="s">
        <v>481</v>
      </c>
      <c r="F243" s="116">
        <v>40</v>
      </c>
      <c r="G243" s="117">
        <v>7680.63</v>
      </c>
      <c r="H243" s="116">
        <v>0</v>
      </c>
      <c r="I243" s="116" t="s">
        <v>322</v>
      </c>
      <c r="J243" s="117">
        <v>0</v>
      </c>
      <c r="K243" s="117">
        <v>0</v>
      </c>
      <c r="L243" s="117">
        <v>0</v>
      </c>
      <c r="M243" s="117">
        <v>0</v>
      </c>
      <c r="N243" s="117">
        <v>0</v>
      </c>
      <c r="O243" s="117">
        <v>3366.96</v>
      </c>
      <c r="P243" s="109">
        <v>949.5</v>
      </c>
      <c r="Q243" s="109">
        <v>1009.86</v>
      </c>
      <c r="R243" s="109">
        <v>9088.23</v>
      </c>
    </row>
    <row r="244" spans="1:18" x14ac:dyDescent="0.3">
      <c r="A244" s="116" t="s">
        <v>371</v>
      </c>
      <c r="B244" s="116" t="s">
        <v>322</v>
      </c>
      <c r="C244" s="116"/>
      <c r="D244" s="116" t="s">
        <v>399</v>
      </c>
      <c r="E244" s="116" t="s">
        <v>480</v>
      </c>
      <c r="F244" s="116">
        <v>40</v>
      </c>
      <c r="G244" s="117">
        <v>9856.8700000000008</v>
      </c>
      <c r="H244" s="116">
        <v>0</v>
      </c>
      <c r="I244" s="116" t="s">
        <v>322</v>
      </c>
      <c r="J244" s="117">
        <v>0</v>
      </c>
      <c r="K244" s="117">
        <v>0</v>
      </c>
      <c r="L244" s="117">
        <v>0</v>
      </c>
      <c r="M244" s="117">
        <v>0</v>
      </c>
      <c r="N244" s="117">
        <v>0</v>
      </c>
      <c r="O244" s="117">
        <v>1171.1199999999999</v>
      </c>
      <c r="P244" s="109">
        <v>1452.21</v>
      </c>
      <c r="Q244" s="109">
        <v>1358.06</v>
      </c>
      <c r="R244" s="109">
        <v>8217.7199999999993</v>
      </c>
    </row>
    <row r="245" spans="1:18" x14ac:dyDescent="0.3">
      <c r="A245" s="116" t="s">
        <v>371</v>
      </c>
      <c r="B245" s="116" t="s">
        <v>322</v>
      </c>
      <c r="C245" s="116"/>
      <c r="D245" s="116" t="s">
        <v>399</v>
      </c>
      <c r="E245" s="116" t="s">
        <v>482</v>
      </c>
      <c r="F245" s="116">
        <v>40</v>
      </c>
      <c r="G245" s="117">
        <v>9361.24</v>
      </c>
      <c r="H245" s="116">
        <v>0</v>
      </c>
      <c r="I245" s="116" t="s">
        <v>322</v>
      </c>
      <c r="J245" s="117">
        <v>0</v>
      </c>
      <c r="K245" s="117">
        <v>0</v>
      </c>
      <c r="L245" s="117">
        <v>0</v>
      </c>
      <c r="M245" s="117">
        <v>0</v>
      </c>
      <c r="N245" s="117">
        <v>0</v>
      </c>
      <c r="O245" s="117">
        <v>1171.1099999999999</v>
      </c>
      <c r="P245" s="109">
        <v>1394.1</v>
      </c>
      <c r="Q245" s="109">
        <v>694.55</v>
      </c>
      <c r="R245" s="109">
        <v>8443.7000000000007</v>
      </c>
    </row>
    <row r="246" spans="1:18" x14ac:dyDescent="0.3">
      <c r="A246" s="116" t="s">
        <v>371</v>
      </c>
      <c r="B246" s="116" t="s">
        <v>322</v>
      </c>
      <c r="C246" s="116"/>
      <c r="D246" s="116" t="s">
        <v>399</v>
      </c>
      <c r="E246" s="116" t="s">
        <v>402</v>
      </c>
      <c r="F246" s="116">
        <v>40</v>
      </c>
      <c r="G246" s="117">
        <v>8712.7000000000007</v>
      </c>
      <c r="H246" s="116">
        <v>0</v>
      </c>
      <c r="I246" s="116" t="s">
        <v>322</v>
      </c>
      <c r="J246" s="117">
        <v>0</v>
      </c>
      <c r="K246" s="117">
        <v>0</v>
      </c>
      <c r="L246" s="117">
        <v>0</v>
      </c>
      <c r="M246" s="117">
        <v>0</v>
      </c>
      <c r="N246" s="117">
        <v>0</v>
      </c>
      <c r="O246" s="117">
        <v>3220.58</v>
      </c>
      <c r="P246" s="109">
        <v>1187.9100000000001</v>
      </c>
      <c r="Q246" s="109">
        <v>1174.99</v>
      </c>
      <c r="R246" s="109">
        <v>9570.3799999999992</v>
      </c>
    </row>
    <row r="247" spans="1:18" x14ac:dyDescent="0.3">
      <c r="A247" s="116" t="s">
        <v>371</v>
      </c>
      <c r="B247" s="116" t="s">
        <v>390</v>
      </c>
      <c r="C247" s="116"/>
      <c r="D247" s="116" t="s">
        <v>399</v>
      </c>
      <c r="E247" s="116" t="s">
        <v>483</v>
      </c>
      <c r="F247" s="116">
        <v>40</v>
      </c>
      <c r="G247" s="117">
        <v>19599.95</v>
      </c>
      <c r="H247" s="116">
        <v>0</v>
      </c>
      <c r="I247" s="116" t="s">
        <v>322</v>
      </c>
      <c r="J247" s="117">
        <v>6533.32</v>
      </c>
      <c r="K247" s="117">
        <v>0</v>
      </c>
      <c r="L247" s="117">
        <v>0</v>
      </c>
      <c r="M247" s="117">
        <v>0</v>
      </c>
      <c r="N247" s="117">
        <v>0</v>
      </c>
      <c r="O247" s="117">
        <v>6137.52</v>
      </c>
      <c r="P247" s="109">
        <v>5312.46</v>
      </c>
      <c r="Q247" s="109">
        <v>2916.95</v>
      </c>
      <c r="R247" s="109">
        <v>24041.38</v>
      </c>
    </row>
    <row r="248" spans="1:18" x14ac:dyDescent="0.3">
      <c r="A248" s="116" t="s">
        <v>371</v>
      </c>
      <c r="B248" s="116" t="s">
        <v>322</v>
      </c>
      <c r="C248" s="116"/>
      <c r="D248" s="116" t="s">
        <v>399</v>
      </c>
      <c r="E248" s="116" t="s">
        <v>402</v>
      </c>
      <c r="F248" s="116">
        <v>40</v>
      </c>
      <c r="G248" s="117">
        <v>4717.25</v>
      </c>
      <c r="H248" s="116">
        <v>0</v>
      </c>
      <c r="I248" s="116" t="s">
        <v>322</v>
      </c>
      <c r="J248" s="117">
        <v>0</v>
      </c>
      <c r="K248" s="117">
        <v>0</v>
      </c>
      <c r="L248" s="117">
        <v>0</v>
      </c>
      <c r="M248" s="117">
        <v>0</v>
      </c>
      <c r="N248" s="117">
        <v>0</v>
      </c>
      <c r="O248" s="117">
        <v>2812.71</v>
      </c>
      <c r="P248" s="109">
        <v>290.85000000000002</v>
      </c>
      <c r="Q248" s="109">
        <v>486.35</v>
      </c>
      <c r="R248" s="109">
        <v>6752.76</v>
      </c>
    </row>
    <row r="249" spans="1:18" x14ac:dyDescent="0.3">
      <c r="A249" s="116" t="s">
        <v>371</v>
      </c>
      <c r="B249" s="116" t="s">
        <v>390</v>
      </c>
      <c r="C249" s="116"/>
      <c r="D249" s="116" t="s">
        <v>399</v>
      </c>
      <c r="E249" s="116" t="s">
        <v>437</v>
      </c>
      <c r="F249" s="116">
        <v>40</v>
      </c>
      <c r="G249" s="117">
        <v>19831.64</v>
      </c>
      <c r="H249" s="116">
        <v>0</v>
      </c>
      <c r="I249" s="116" t="s">
        <v>322</v>
      </c>
      <c r="J249" s="117">
        <v>0</v>
      </c>
      <c r="K249" s="117">
        <v>0</v>
      </c>
      <c r="L249" s="117">
        <v>0</v>
      </c>
      <c r="M249" s="117">
        <v>0</v>
      </c>
      <c r="N249" s="117">
        <v>0</v>
      </c>
      <c r="O249" s="117">
        <v>3100.41</v>
      </c>
      <c r="P249" s="109">
        <v>4568.74</v>
      </c>
      <c r="Q249" s="109">
        <v>2954.02</v>
      </c>
      <c r="R249" s="109">
        <v>15409.29</v>
      </c>
    </row>
    <row r="250" spans="1:18" x14ac:dyDescent="0.3">
      <c r="A250" s="116" t="s">
        <v>371</v>
      </c>
      <c r="B250" s="116" t="s">
        <v>322</v>
      </c>
      <c r="C250" s="116" t="s">
        <v>406</v>
      </c>
      <c r="D250" s="116" t="s">
        <v>399</v>
      </c>
      <c r="E250" s="116" t="s">
        <v>484</v>
      </c>
      <c r="F250" s="116">
        <v>40</v>
      </c>
      <c r="G250" s="117">
        <v>12922</v>
      </c>
      <c r="H250" s="116">
        <v>0</v>
      </c>
      <c r="I250" s="116" t="s">
        <v>322</v>
      </c>
      <c r="J250" s="117">
        <v>0</v>
      </c>
      <c r="K250" s="117">
        <v>0</v>
      </c>
      <c r="L250" s="117">
        <v>0</v>
      </c>
      <c r="M250" s="117">
        <v>0</v>
      </c>
      <c r="N250" s="117">
        <v>0</v>
      </c>
      <c r="O250" s="117">
        <v>3220.57</v>
      </c>
      <c r="P250" s="109">
        <v>2213.06</v>
      </c>
      <c r="Q250" s="109">
        <v>1656.48</v>
      </c>
      <c r="R250" s="109">
        <v>12273.03</v>
      </c>
    </row>
    <row r="251" spans="1:18" x14ac:dyDescent="0.3">
      <c r="A251" s="116" t="s">
        <v>371</v>
      </c>
      <c r="B251" s="116" t="s">
        <v>322</v>
      </c>
      <c r="C251" s="116"/>
      <c r="D251" s="116" t="s">
        <v>399</v>
      </c>
      <c r="E251" s="116" t="s">
        <v>485</v>
      </c>
      <c r="F251" s="116">
        <v>40</v>
      </c>
      <c r="G251" s="117">
        <v>8237.6</v>
      </c>
      <c r="H251" s="116">
        <v>0</v>
      </c>
      <c r="I251" s="116" t="s">
        <v>322</v>
      </c>
      <c r="J251" s="117">
        <v>0</v>
      </c>
      <c r="K251" s="117">
        <v>0</v>
      </c>
      <c r="L251" s="117">
        <v>0</v>
      </c>
      <c r="M251" s="117">
        <v>0</v>
      </c>
      <c r="N251" s="117">
        <v>0</v>
      </c>
      <c r="O251" s="117">
        <v>1903.06</v>
      </c>
      <c r="P251" s="109">
        <v>921.75</v>
      </c>
      <c r="Q251" s="109">
        <v>1098.98</v>
      </c>
      <c r="R251" s="109">
        <v>8119.93</v>
      </c>
    </row>
    <row r="252" spans="1:18" x14ac:dyDescent="0.3">
      <c r="A252" s="116" t="s">
        <v>371</v>
      </c>
      <c r="B252" s="116" t="s">
        <v>322</v>
      </c>
      <c r="C252" s="116"/>
      <c r="D252" s="116" t="s">
        <v>399</v>
      </c>
      <c r="E252" s="116" t="s">
        <v>429</v>
      </c>
      <c r="F252" s="116">
        <v>40</v>
      </c>
      <c r="G252" s="117">
        <v>9434.81</v>
      </c>
      <c r="H252" s="116">
        <v>0</v>
      </c>
      <c r="I252" s="116" t="s">
        <v>322</v>
      </c>
      <c r="J252" s="117">
        <v>0</v>
      </c>
      <c r="K252" s="117">
        <v>0</v>
      </c>
      <c r="L252" s="117">
        <v>0</v>
      </c>
      <c r="M252" s="117">
        <v>0</v>
      </c>
      <c r="N252" s="117">
        <v>0</v>
      </c>
      <c r="O252" s="117">
        <v>3366.96</v>
      </c>
      <c r="P252" s="109">
        <v>1354.72</v>
      </c>
      <c r="Q252" s="109">
        <v>1290.53</v>
      </c>
      <c r="R252" s="109">
        <v>10156.52</v>
      </c>
    </row>
    <row r="253" spans="1:18" x14ac:dyDescent="0.3">
      <c r="A253" s="116" t="s">
        <v>371</v>
      </c>
      <c r="B253" s="116" t="s">
        <v>322</v>
      </c>
      <c r="C253" s="116"/>
      <c r="D253" s="116" t="s">
        <v>399</v>
      </c>
      <c r="E253" s="116" t="s">
        <v>486</v>
      </c>
      <c r="F253" s="116">
        <v>40</v>
      </c>
      <c r="G253" s="117">
        <v>20036.79</v>
      </c>
      <c r="H253" s="116">
        <v>0</v>
      </c>
      <c r="I253" s="116" t="s">
        <v>322</v>
      </c>
      <c r="J253" s="117">
        <v>0</v>
      </c>
      <c r="K253" s="117">
        <v>0</v>
      </c>
      <c r="L253" s="117">
        <v>0</v>
      </c>
      <c r="M253" s="117">
        <v>0</v>
      </c>
      <c r="N253" s="117">
        <v>0</v>
      </c>
      <c r="O253" s="117">
        <v>3074.19</v>
      </c>
      <c r="P253" s="109">
        <v>3879.59</v>
      </c>
      <c r="Q253" s="109">
        <v>2711.14</v>
      </c>
      <c r="R253" s="109">
        <v>16520.25</v>
      </c>
    </row>
    <row r="254" spans="1:18" x14ac:dyDescent="0.3">
      <c r="A254" s="116" t="s">
        <v>371</v>
      </c>
      <c r="B254" s="116" t="s">
        <v>322</v>
      </c>
      <c r="C254" s="116"/>
      <c r="D254" s="116" t="s">
        <v>399</v>
      </c>
      <c r="E254" s="116" t="s">
        <v>440</v>
      </c>
      <c r="F254" s="116">
        <v>40</v>
      </c>
      <c r="G254" s="117">
        <v>9355.01</v>
      </c>
      <c r="H254" s="116">
        <v>0</v>
      </c>
      <c r="I254" s="116" t="s">
        <v>322</v>
      </c>
      <c r="J254" s="117">
        <v>0</v>
      </c>
      <c r="K254" s="117">
        <v>0</v>
      </c>
      <c r="L254" s="117">
        <v>0</v>
      </c>
      <c r="M254" s="117">
        <v>0</v>
      </c>
      <c r="N254" s="117">
        <v>0</v>
      </c>
      <c r="O254" s="117">
        <v>1903.07</v>
      </c>
      <c r="P254" s="109">
        <v>1336.28</v>
      </c>
      <c r="Q254" s="109">
        <v>1277.76</v>
      </c>
      <c r="R254" s="109">
        <v>8644.0400000000009</v>
      </c>
    </row>
    <row r="255" spans="1:18" x14ac:dyDescent="0.3">
      <c r="A255" s="116" t="s">
        <v>371</v>
      </c>
      <c r="B255" s="116" t="s">
        <v>322</v>
      </c>
      <c r="C255" s="116"/>
      <c r="D255" s="116" t="s">
        <v>399</v>
      </c>
      <c r="E255" s="116" t="s">
        <v>465</v>
      </c>
      <c r="F255" s="116">
        <v>40</v>
      </c>
      <c r="G255" s="117">
        <v>17530.330000000002</v>
      </c>
      <c r="H255" s="116">
        <v>0</v>
      </c>
      <c r="I255" s="116" t="s">
        <v>322</v>
      </c>
      <c r="J255" s="117">
        <v>0</v>
      </c>
      <c r="K255" s="117">
        <v>0</v>
      </c>
      <c r="L255" s="117">
        <v>0</v>
      </c>
      <c r="M255" s="117">
        <v>0</v>
      </c>
      <c r="N255" s="117">
        <v>0</v>
      </c>
      <c r="O255" s="117">
        <v>2195.84</v>
      </c>
      <c r="P255" s="109">
        <v>3172.64</v>
      </c>
      <c r="Q255" s="109">
        <v>2585.81</v>
      </c>
      <c r="R255" s="109">
        <v>13967.72</v>
      </c>
    </row>
    <row r="256" spans="1:18" x14ac:dyDescent="0.3">
      <c r="A256" s="116" t="s">
        <v>371</v>
      </c>
      <c r="B256" s="116" t="s">
        <v>322</v>
      </c>
      <c r="C256" s="116"/>
      <c r="D256" s="116" t="s">
        <v>399</v>
      </c>
      <c r="E256" s="116" t="s">
        <v>487</v>
      </c>
      <c r="F256" s="116">
        <v>40</v>
      </c>
      <c r="G256" s="117">
        <v>9903.1299999999992</v>
      </c>
      <c r="H256" s="116">
        <v>0</v>
      </c>
      <c r="I256" s="116" t="s">
        <v>322</v>
      </c>
      <c r="J256" s="117">
        <v>0</v>
      </c>
      <c r="K256" s="117">
        <v>0</v>
      </c>
      <c r="L256" s="117">
        <v>0</v>
      </c>
      <c r="M256" s="117">
        <v>0</v>
      </c>
      <c r="N256" s="117">
        <v>0</v>
      </c>
      <c r="O256" s="117">
        <v>292.77</v>
      </c>
      <c r="P256" s="109">
        <v>1410.76</v>
      </c>
      <c r="Q256" s="109">
        <v>1365.46</v>
      </c>
      <c r="R256" s="109">
        <v>7419.68</v>
      </c>
    </row>
    <row r="257" spans="1:18" x14ac:dyDescent="0.3">
      <c r="A257" s="116" t="s">
        <v>371</v>
      </c>
      <c r="B257" s="116" t="s">
        <v>322</v>
      </c>
      <c r="C257" s="116"/>
      <c r="D257" s="116" t="s">
        <v>399</v>
      </c>
      <c r="E257" s="116" t="s">
        <v>405</v>
      </c>
      <c r="F257" s="116">
        <v>40</v>
      </c>
      <c r="G257" s="117">
        <v>9826.49</v>
      </c>
      <c r="H257" s="116">
        <v>0</v>
      </c>
      <c r="I257" s="116" t="s">
        <v>322</v>
      </c>
      <c r="J257" s="117">
        <v>0</v>
      </c>
      <c r="K257" s="117">
        <v>0</v>
      </c>
      <c r="L257" s="117">
        <v>0</v>
      </c>
      <c r="M257" s="117">
        <v>0</v>
      </c>
      <c r="N257" s="117">
        <v>0</v>
      </c>
      <c r="O257" s="117">
        <v>3366.96</v>
      </c>
      <c r="P257" s="109">
        <v>1699.52</v>
      </c>
      <c r="Q257" s="109">
        <v>1353.2</v>
      </c>
      <c r="R257" s="109">
        <v>10140.73</v>
      </c>
    </row>
    <row r="258" spans="1:18" x14ac:dyDescent="0.3">
      <c r="A258" s="116" t="s">
        <v>371</v>
      </c>
      <c r="B258" s="116" t="s">
        <v>390</v>
      </c>
      <c r="C258" s="116"/>
      <c r="D258" s="116" t="s">
        <v>399</v>
      </c>
      <c r="E258" s="116" t="s">
        <v>441</v>
      </c>
      <c r="F258" s="116">
        <v>40</v>
      </c>
      <c r="G258" s="117">
        <v>20421.2</v>
      </c>
      <c r="H258" s="116">
        <v>0</v>
      </c>
      <c r="I258" s="116" t="s">
        <v>322</v>
      </c>
      <c r="J258" s="117">
        <v>0</v>
      </c>
      <c r="K258" s="117">
        <v>0</v>
      </c>
      <c r="L258" s="117">
        <v>0</v>
      </c>
      <c r="M258" s="117">
        <v>0</v>
      </c>
      <c r="N258" s="117">
        <v>0</v>
      </c>
      <c r="O258" s="117">
        <v>4632.6499999999996</v>
      </c>
      <c r="P258" s="109">
        <v>4730.87</v>
      </c>
      <c r="Q258" s="109">
        <v>2729.59</v>
      </c>
      <c r="R258" s="109">
        <v>17593.39</v>
      </c>
    </row>
    <row r="259" spans="1:18" x14ac:dyDescent="0.3">
      <c r="A259" s="116" t="s">
        <v>371</v>
      </c>
      <c r="B259" s="116" t="s">
        <v>322</v>
      </c>
      <c r="C259" s="116"/>
      <c r="D259" s="116" t="s">
        <v>399</v>
      </c>
      <c r="E259" s="116" t="s">
        <v>440</v>
      </c>
      <c r="F259" s="116">
        <v>40</v>
      </c>
      <c r="G259" s="117">
        <v>9196.08</v>
      </c>
      <c r="H259" s="116">
        <v>0</v>
      </c>
      <c r="I259" s="116" t="s">
        <v>322</v>
      </c>
      <c r="J259" s="117">
        <v>0</v>
      </c>
      <c r="K259" s="117">
        <v>0</v>
      </c>
      <c r="L259" s="117">
        <v>0</v>
      </c>
      <c r="M259" s="117">
        <v>0</v>
      </c>
      <c r="N259" s="117">
        <v>0</v>
      </c>
      <c r="O259" s="117">
        <v>3074.19</v>
      </c>
      <c r="P259" s="109">
        <v>1285.83</v>
      </c>
      <c r="Q259" s="109">
        <v>1252.33</v>
      </c>
      <c r="R259" s="109">
        <v>9732.11</v>
      </c>
    </row>
    <row r="260" spans="1:18" x14ac:dyDescent="0.3">
      <c r="A260" s="116" t="s">
        <v>371</v>
      </c>
      <c r="B260" s="116" t="s">
        <v>322</v>
      </c>
      <c r="C260" s="116"/>
      <c r="D260" s="116" t="s">
        <v>399</v>
      </c>
      <c r="E260" s="116" t="s">
        <v>488</v>
      </c>
      <c r="F260" s="116">
        <v>40</v>
      </c>
      <c r="G260" s="117">
        <v>21479.59</v>
      </c>
      <c r="H260" s="116">
        <v>0</v>
      </c>
      <c r="I260" s="116" t="s">
        <v>322</v>
      </c>
      <c r="J260" s="117">
        <v>0</v>
      </c>
      <c r="K260" s="117">
        <v>0</v>
      </c>
      <c r="L260" s="117">
        <v>0</v>
      </c>
      <c r="M260" s="117">
        <v>0</v>
      </c>
      <c r="N260" s="117">
        <v>0</v>
      </c>
      <c r="O260" s="117">
        <v>5600.49</v>
      </c>
      <c r="P260" s="109">
        <v>5021.93</v>
      </c>
      <c r="Q260" s="109">
        <v>2233.5300000000002</v>
      </c>
      <c r="R260" s="109">
        <v>19824.62</v>
      </c>
    </row>
    <row r="261" spans="1:18" x14ac:dyDescent="0.3">
      <c r="A261" s="116" t="s">
        <v>371</v>
      </c>
      <c r="B261" s="116" t="s">
        <v>390</v>
      </c>
      <c r="C261" s="116"/>
      <c r="D261" s="116" t="s">
        <v>399</v>
      </c>
      <c r="E261" s="116" t="s">
        <v>489</v>
      </c>
      <c r="F261" s="116">
        <v>40</v>
      </c>
      <c r="G261" s="117">
        <v>19362.740000000002</v>
      </c>
      <c r="H261" s="116">
        <v>0</v>
      </c>
      <c r="I261" s="116" t="s">
        <v>322</v>
      </c>
      <c r="J261" s="117">
        <v>0</v>
      </c>
      <c r="K261" s="117">
        <v>0</v>
      </c>
      <c r="L261" s="117">
        <v>0</v>
      </c>
      <c r="M261" s="117">
        <v>0</v>
      </c>
      <c r="N261" s="117">
        <v>0</v>
      </c>
      <c r="O261" s="117">
        <v>6245.96</v>
      </c>
      <c r="P261" s="109">
        <v>4439.79</v>
      </c>
      <c r="Q261" s="109">
        <v>2879</v>
      </c>
      <c r="R261" s="109">
        <v>18289.91</v>
      </c>
    </row>
    <row r="262" spans="1:18" x14ac:dyDescent="0.3">
      <c r="A262" s="116" t="s">
        <v>371</v>
      </c>
      <c r="B262" s="116" t="s">
        <v>322</v>
      </c>
      <c r="C262" s="116" t="s">
        <v>369</v>
      </c>
      <c r="D262" s="116" t="s">
        <v>399</v>
      </c>
      <c r="E262" s="116" t="s">
        <v>440</v>
      </c>
      <c r="F262" s="116">
        <v>40</v>
      </c>
      <c r="G262" s="117">
        <v>11988.96</v>
      </c>
      <c r="H262" s="116">
        <v>0</v>
      </c>
      <c r="I262" s="116" t="s">
        <v>322</v>
      </c>
      <c r="J262" s="117">
        <v>0</v>
      </c>
      <c r="K262" s="117">
        <v>0</v>
      </c>
      <c r="L262" s="117">
        <v>0</v>
      </c>
      <c r="M262" s="117">
        <v>0</v>
      </c>
      <c r="N262" s="117">
        <v>0</v>
      </c>
      <c r="O262" s="117">
        <v>3074.19</v>
      </c>
      <c r="P262" s="109">
        <v>1935.06</v>
      </c>
      <c r="Q262" s="109">
        <v>1355.17</v>
      </c>
      <c r="R262" s="109">
        <v>11772.92</v>
      </c>
    </row>
    <row r="263" spans="1:18" x14ac:dyDescent="0.3">
      <c r="A263" s="116" t="s">
        <v>371</v>
      </c>
      <c r="B263" s="116" t="s">
        <v>322</v>
      </c>
      <c r="C263" s="116"/>
      <c r="D263" s="116" t="s">
        <v>399</v>
      </c>
      <c r="E263" s="116" t="s">
        <v>419</v>
      </c>
      <c r="F263" s="116">
        <v>40</v>
      </c>
      <c r="G263" s="117">
        <v>10668.7</v>
      </c>
      <c r="H263" s="116">
        <v>0</v>
      </c>
      <c r="I263" s="116" t="s">
        <v>322</v>
      </c>
      <c r="J263" s="117">
        <v>0</v>
      </c>
      <c r="K263" s="117">
        <v>0</v>
      </c>
      <c r="L263" s="117">
        <v>0</v>
      </c>
      <c r="M263" s="117">
        <v>0</v>
      </c>
      <c r="N263" s="117">
        <v>0</v>
      </c>
      <c r="O263" s="117">
        <v>3220.57</v>
      </c>
      <c r="P263" s="109">
        <v>1629.05</v>
      </c>
      <c r="Q263" s="109">
        <v>1337.26</v>
      </c>
      <c r="R263" s="109">
        <v>10922.96</v>
      </c>
    </row>
    <row r="264" spans="1:18" x14ac:dyDescent="0.3">
      <c r="A264" s="116" t="s">
        <v>371</v>
      </c>
      <c r="B264" s="116" t="s">
        <v>322</v>
      </c>
      <c r="C264" s="116"/>
      <c r="D264" s="116" t="s">
        <v>399</v>
      </c>
      <c r="E264" s="116" t="s">
        <v>490</v>
      </c>
      <c r="F264" s="116">
        <v>40</v>
      </c>
      <c r="G264" s="117">
        <v>11832.36</v>
      </c>
      <c r="H264" s="116">
        <v>0</v>
      </c>
      <c r="I264" s="116" t="s">
        <v>322</v>
      </c>
      <c r="J264" s="117">
        <v>0</v>
      </c>
      <c r="K264" s="117">
        <v>0</v>
      </c>
      <c r="L264" s="117">
        <v>0</v>
      </c>
      <c r="M264" s="117">
        <v>0</v>
      </c>
      <c r="N264" s="117">
        <v>0</v>
      </c>
      <c r="O264" s="117">
        <v>3366.96</v>
      </c>
      <c r="P264" s="109">
        <v>1995.32</v>
      </c>
      <c r="Q264" s="109">
        <v>1358.61</v>
      </c>
      <c r="R264" s="109">
        <v>11845.39</v>
      </c>
    </row>
    <row r="265" spans="1:18" x14ac:dyDescent="0.3">
      <c r="A265" s="116" t="s">
        <v>371</v>
      </c>
      <c r="B265" s="116" t="s">
        <v>322</v>
      </c>
      <c r="C265" s="116"/>
      <c r="D265" s="116" t="s">
        <v>399</v>
      </c>
      <c r="E265" s="116" t="s">
        <v>436</v>
      </c>
      <c r="F265" s="116">
        <v>40</v>
      </c>
      <c r="G265" s="117">
        <v>8085.67</v>
      </c>
      <c r="H265" s="116">
        <v>0</v>
      </c>
      <c r="I265" s="116" t="s">
        <v>322</v>
      </c>
      <c r="J265" s="117">
        <v>0</v>
      </c>
      <c r="K265" s="117">
        <v>0</v>
      </c>
      <c r="L265" s="117">
        <v>0</v>
      </c>
      <c r="M265" s="117">
        <v>0</v>
      </c>
      <c r="N265" s="117">
        <v>0</v>
      </c>
      <c r="O265" s="117">
        <v>2927.8</v>
      </c>
      <c r="P265" s="109">
        <v>1068.51</v>
      </c>
      <c r="Q265" s="109">
        <v>982.16</v>
      </c>
      <c r="R265" s="109">
        <v>8962.7999999999993</v>
      </c>
    </row>
    <row r="266" spans="1:18" x14ac:dyDescent="0.3">
      <c r="A266" s="116" t="s">
        <v>371</v>
      </c>
      <c r="B266" s="116" t="s">
        <v>322</v>
      </c>
      <c r="C266" s="116"/>
      <c r="D266" s="116" t="s">
        <v>399</v>
      </c>
      <c r="E266" s="116" t="s">
        <v>443</v>
      </c>
      <c r="F266" s="116">
        <v>40</v>
      </c>
      <c r="G266" s="117">
        <v>14265.84</v>
      </c>
      <c r="H266" s="116">
        <v>0</v>
      </c>
      <c r="I266" s="116" t="s">
        <v>322</v>
      </c>
      <c r="J266" s="117">
        <v>0</v>
      </c>
      <c r="K266" s="117">
        <v>0</v>
      </c>
      <c r="L266" s="117">
        <v>0</v>
      </c>
      <c r="M266" s="117">
        <v>0</v>
      </c>
      <c r="N266" s="117">
        <v>0</v>
      </c>
      <c r="O266" s="117">
        <v>3074.19</v>
      </c>
      <c r="P266" s="109">
        <v>2768.05</v>
      </c>
      <c r="Q266" s="109">
        <v>1609.86</v>
      </c>
      <c r="R266" s="109">
        <v>12962.12</v>
      </c>
    </row>
    <row r="267" spans="1:18" x14ac:dyDescent="0.3">
      <c r="A267" s="116" t="s">
        <v>371</v>
      </c>
      <c r="B267" s="116" t="s">
        <v>322</v>
      </c>
      <c r="C267" s="116"/>
      <c r="D267" s="116" t="s">
        <v>399</v>
      </c>
      <c r="E267" s="116" t="s">
        <v>455</v>
      </c>
      <c r="F267" s="116">
        <v>40</v>
      </c>
      <c r="G267" s="117">
        <v>8055</v>
      </c>
      <c r="H267" s="116">
        <v>0</v>
      </c>
      <c r="I267" s="116" t="s">
        <v>322</v>
      </c>
      <c r="J267" s="117">
        <v>0</v>
      </c>
      <c r="K267" s="117">
        <v>0</v>
      </c>
      <c r="L267" s="117">
        <v>0</v>
      </c>
      <c r="M267" s="117">
        <v>0</v>
      </c>
      <c r="N267" s="117">
        <v>0</v>
      </c>
      <c r="O267" s="117">
        <v>3366.96</v>
      </c>
      <c r="P267" s="109">
        <v>1035.98</v>
      </c>
      <c r="Q267" s="109">
        <v>1069.76</v>
      </c>
      <c r="R267" s="109">
        <v>9316.2199999999993</v>
      </c>
    </row>
    <row r="268" spans="1:18" x14ac:dyDescent="0.3">
      <c r="A268" s="116" t="s">
        <v>371</v>
      </c>
      <c r="B268" s="116" t="s">
        <v>322</v>
      </c>
      <c r="C268" s="116"/>
      <c r="D268" s="116" t="s">
        <v>399</v>
      </c>
      <c r="E268" s="116" t="s">
        <v>441</v>
      </c>
      <c r="F268" s="116">
        <v>40</v>
      </c>
      <c r="G268" s="117">
        <v>7241.76</v>
      </c>
      <c r="H268" s="116">
        <v>0</v>
      </c>
      <c r="I268" s="116" t="s">
        <v>322</v>
      </c>
      <c r="J268" s="117">
        <v>0</v>
      </c>
      <c r="K268" s="117">
        <v>0</v>
      </c>
      <c r="L268" s="117">
        <v>0</v>
      </c>
      <c r="M268" s="117">
        <v>0</v>
      </c>
      <c r="N268" s="117">
        <v>0</v>
      </c>
      <c r="O268" s="117">
        <v>3366.96</v>
      </c>
      <c r="P268" s="109">
        <v>743.48</v>
      </c>
      <c r="Q268" s="109">
        <v>940.97</v>
      </c>
      <c r="R268" s="109">
        <v>8924.27</v>
      </c>
    </row>
    <row r="269" spans="1:18" x14ac:dyDescent="0.3">
      <c r="A269" s="116" t="s">
        <v>371</v>
      </c>
      <c r="B269" s="116" t="s">
        <v>322</v>
      </c>
      <c r="C269" s="116"/>
      <c r="D269" s="116" t="s">
        <v>399</v>
      </c>
      <c r="E269" s="116" t="s">
        <v>432</v>
      </c>
      <c r="F269" s="116">
        <v>40</v>
      </c>
      <c r="G269" s="117">
        <v>7692.02</v>
      </c>
      <c r="H269" s="116">
        <v>0</v>
      </c>
      <c r="I269" s="116" t="s">
        <v>322</v>
      </c>
      <c r="J269" s="117">
        <v>0</v>
      </c>
      <c r="K269" s="117">
        <v>0</v>
      </c>
      <c r="L269" s="117">
        <v>0</v>
      </c>
      <c r="M269" s="117">
        <v>0</v>
      </c>
      <c r="N269" s="117">
        <v>0</v>
      </c>
      <c r="O269" s="117">
        <v>1610.29</v>
      </c>
      <c r="P269" s="109">
        <v>952.13</v>
      </c>
      <c r="Q269" s="109">
        <v>1011.68</v>
      </c>
      <c r="R269" s="109">
        <v>7338.5</v>
      </c>
    </row>
    <row r="270" spans="1:18" x14ac:dyDescent="0.3">
      <c r="A270" s="116" t="s">
        <v>371</v>
      </c>
      <c r="B270" s="116" t="s">
        <v>322</v>
      </c>
      <c r="C270" s="116"/>
      <c r="D270" s="116" t="s">
        <v>399</v>
      </c>
      <c r="E270" s="116" t="s">
        <v>491</v>
      </c>
      <c r="F270" s="116">
        <v>40</v>
      </c>
      <c r="G270" s="117">
        <v>9844.6200000000008</v>
      </c>
      <c r="H270" s="116">
        <v>0</v>
      </c>
      <c r="I270" s="116" t="s">
        <v>322</v>
      </c>
      <c r="J270" s="117">
        <v>0</v>
      </c>
      <c r="K270" s="117">
        <v>0</v>
      </c>
      <c r="L270" s="117">
        <v>0</v>
      </c>
      <c r="M270" s="117">
        <v>0</v>
      </c>
      <c r="N270" s="117">
        <v>0</v>
      </c>
      <c r="O270" s="117">
        <v>1903.06</v>
      </c>
      <c r="P270" s="109">
        <v>1397.25</v>
      </c>
      <c r="Q270" s="109">
        <v>1356.1</v>
      </c>
      <c r="R270" s="109">
        <v>8994.33</v>
      </c>
    </row>
    <row r="271" spans="1:18" x14ac:dyDescent="0.3">
      <c r="A271" s="116" t="s">
        <v>371</v>
      </c>
      <c r="B271" s="116" t="s">
        <v>390</v>
      </c>
      <c r="C271" s="116"/>
      <c r="D271" s="116" t="s">
        <v>399</v>
      </c>
      <c r="E271" s="116" t="s">
        <v>492</v>
      </c>
      <c r="F271" s="116">
        <v>40</v>
      </c>
      <c r="G271" s="117">
        <v>18680.169999999998</v>
      </c>
      <c r="H271" s="116">
        <v>0</v>
      </c>
      <c r="I271" s="116" t="s">
        <v>322</v>
      </c>
      <c r="J271" s="117">
        <v>0</v>
      </c>
      <c r="K271" s="117">
        <v>0</v>
      </c>
      <c r="L271" s="117">
        <v>0</v>
      </c>
      <c r="M271" s="117">
        <v>0</v>
      </c>
      <c r="N271" s="117">
        <v>0</v>
      </c>
      <c r="O271" s="117">
        <v>6136.75</v>
      </c>
      <c r="P271" s="109">
        <v>4252.09</v>
      </c>
      <c r="Q271" s="109">
        <v>2769.79</v>
      </c>
      <c r="R271" s="109">
        <v>17795.04</v>
      </c>
    </row>
    <row r="272" spans="1:18" x14ac:dyDescent="0.3">
      <c r="A272" s="116" t="s">
        <v>371</v>
      </c>
      <c r="B272" s="116" t="s">
        <v>322</v>
      </c>
      <c r="C272" s="116"/>
      <c r="D272" s="116" t="s">
        <v>399</v>
      </c>
      <c r="E272" s="116" t="s">
        <v>493</v>
      </c>
      <c r="F272" s="116">
        <v>40</v>
      </c>
      <c r="G272" s="117">
        <v>8985.3799999999992</v>
      </c>
      <c r="H272" s="116">
        <v>0</v>
      </c>
      <c r="I272" s="116" t="s">
        <v>322</v>
      </c>
      <c r="J272" s="117">
        <v>0</v>
      </c>
      <c r="K272" s="117">
        <v>0</v>
      </c>
      <c r="L272" s="117">
        <v>0</v>
      </c>
      <c r="M272" s="117">
        <v>0</v>
      </c>
      <c r="N272" s="117">
        <v>0</v>
      </c>
      <c r="O272" s="117">
        <v>3366.96</v>
      </c>
      <c r="P272" s="109">
        <v>1250.9000000000001</v>
      </c>
      <c r="Q272" s="109">
        <v>1218.6199999999999</v>
      </c>
      <c r="R272" s="109">
        <v>9882.82</v>
      </c>
    </row>
    <row r="273" spans="1:18" x14ac:dyDescent="0.3">
      <c r="A273" s="116" t="s">
        <v>371</v>
      </c>
      <c r="B273" s="116" t="s">
        <v>322</v>
      </c>
      <c r="C273" s="116"/>
      <c r="D273" s="116" t="s">
        <v>399</v>
      </c>
      <c r="E273" s="116" t="s">
        <v>456</v>
      </c>
      <c r="F273" s="116">
        <v>40</v>
      </c>
      <c r="G273" s="117">
        <v>4717.25</v>
      </c>
      <c r="H273" s="116">
        <v>0</v>
      </c>
      <c r="I273" s="116" t="s">
        <v>322</v>
      </c>
      <c r="J273" s="117">
        <v>0</v>
      </c>
      <c r="K273" s="117">
        <v>0</v>
      </c>
      <c r="L273" s="117">
        <v>0</v>
      </c>
      <c r="M273" s="117">
        <v>0</v>
      </c>
      <c r="N273" s="117">
        <v>0</v>
      </c>
      <c r="O273" s="117">
        <v>3118.09</v>
      </c>
      <c r="P273" s="109">
        <v>290.85000000000002</v>
      </c>
      <c r="Q273" s="109">
        <v>486.35</v>
      </c>
      <c r="R273" s="109">
        <v>7058.14</v>
      </c>
    </row>
    <row r="274" spans="1:18" x14ac:dyDescent="0.3">
      <c r="A274" s="116" t="s">
        <v>371</v>
      </c>
      <c r="B274" s="116" t="s">
        <v>322</v>
      </c>
      <c r="C274" s="116"/>
      <c r="D274" s="116" t="s">
        <v>399</v>
      </c>
      <c r="E274" s="116" t="s">
        <v>408</v>
      </c>
      <c r="F274" s="116">
        <v>40</v>
      </c>
      <c r="G274" s="117">
        <v>8820.59</v>
      </c>
      <c r="H274" s="116">
        <v>0</v>
      </c>
      <c r="I274" s="116" t="s">
        <v>322</v>
      </c>
      <c r="J274" s="117">
        <v>0</v>
      </c>
      <c r="K274" s="117">
        <v>0</v>
      </c>
      <c r="L274" s="117">
        <v>0</v>
      </c>
      <c r="M274" s="117">
        <v>0</v>
      </c>
      <c r="N274" s="117">
        <v>0</v>
      </c>
      <c r="O274" s="117">
        <v>2488.62</v>
      </c>
      <c r="P274" s="109">
        <v>1246.93</v>
      </c>
      <c r="Q274" s="109">
        <v>1068.27</v>
      </c>
      <c r="R274" s="109">
        <v>8994.01</v>
      </c>
    </row>
    <row r="275" spans="1:18" x14ac:dyDescent="0.3">
      <c r="A275" s="116" t="s">
        <v>371</v>
      </c>
      <c r="B275" s="116" t="s">
        <v>322</v>
      </c>
      <c r="C275" s="116"/>
      <c r="D275" s="116" t="s">
        <v>399</v>
      </c>
      <c r="E275" s="116" t="s">
        <v>437</v>
      </c>
      <c r="F275" s="116">
        <v>40</v>
      </c>
      <c r="G275" s="117">
        <v>10651.09</v>
      </c>
      <c r="H275" s="116">
        <v>0</v>
      </c>
      <c r="I275" s="116" t="s">
        <v>322</v>
      </c>
      <c r="J275" s="117">
        <v>0</v>
      </c>
      <c r="K275" s="117">
        <v>0</v>
      </c>
      <c r="L275" s="117">
        <v>0</v>
      </c>
      <c r="M275" s="117">
        <v>0</v>
      </c>
      <c r="N275" s="117">
        <v>0</v>
      </c>
      <c r="O275" s="117">
        <v>1024.72</v>
      </c>
      <c r="P275" s="109">
        <v>1669.72</v>
      </c>
      <c r="Q275" s="109">
        <v>982.16</v>
      </c>
      <c r="R275" s="109">
        <v>9023.93</v>
      </c>
    </row>
    <row r="276" spans="1:18" x14ac:dyDescent="0.3">
      <c r="A276" s="116" t="s">
        <v>371</v>
      </c>
      <c r="B276" s="116" t="s">
        <v>322</v>
      </c>
      <c r="C276" s="116"/>
      <c r="D276" s="116" t="s">
        <v>399</v>
      </c>
      <c r="E276" s="116" t="s">
        <v>385</v>
      </c>
      <c r="F276" s="116">
        <v>40</v>
      </c>
      <c r="G276" s="117">
        <v>7696.16</v>
      </c>
      <c r="H276" s="116">
        <v>0</v>
      </c>
      <c r="I276" s="116" t="s">
        <v>322</v>
      </c>
      <c r="J276" s="117">
        <v>0</v>
      </c>
      <c r="K276" s="117">
        <v>0</v>
      </c>
      <c r="L276" s="117">
        <v>0</v>
      </c>
      <c r="M276" s="117">
        <v>0</v>
      </c>
      <c r="N276" s="117">
        <v>0</v>
      </c>
      <c r="O276" s="117">
        <v>2927.8</v>
      </c>
      <c r="P276" s="109">
        <v>900.95</v>
      </c>
      <c r="Q276" s="109">
        <v>1012.35</v>
      </c>
      <c r="R276" s="109">
        <v>8710.66</v>
      </c>
    </row>
    <row r="277" spans="1:18" x14ac:dyDescent="0.3">
      <c r="A277" s="116" t="s">
        <v>371</v>
      </c>
      <c r="B277" s="116" t="s">
        <v>322</v>
      </c>
      <c r="C277" s="116"/>
      <c r="D277" s="116" t="s">
        <v>399</v>
      </c>
      <c r="E277" s="116" t="s">
        <v>494</v>
      </c>
      <c r="F277" s="116">
        <v>40</v>
      </c>
      <c r="G277" s="117">
        <v>8817.61</v>
      </c>
      <c r="H277" s="116">
        <v>0</v>
      </c>
      <c r="I277" s="116" t="s">
        <v>322</v>
      </c>
      <c r="J277" s="117">
        <v>0</v>
      </c>
      <c r="K277" s="117">
        <v>0</v>
      </c>
      <c r="L277" s="117">
        <v>0</v>
      </c>
      <c r="M277" s="117">
        <v>0</v>
      </c>
      <c r="N277" s="117">
        <v>0</v>
      </c>
      <c r="O277" s="117">
        <v>3366.96</v>
      </c>
      <c r="P277" s="109">
        <v>1246.24</v>
      </c>
      <c r="Q277" s="109">
        <v>1067.8</v>
      </c>
      <c r="R277" s="109">
        <v>9870.5300000000007</v>
      </c>
    </row>
    <row r="278" spans="1:18" x14ac:dyDescent="0.3">
      <c r="A278" s="116" t="s">
        <v>371</v>
      </c>
      <c r="B278" s="116" t="s">
        <v>322</v>
      </c>
      <c r="C278" s="116"/>
      <c r="D278" s="116" t="s">
        <v>399</v>
      </c>
      <c r="E278" s="116" t="s">
        <v>456</v>
      </c>
      <c r="F278" s="116">
        <v>40</v>
      </c>
      <c r="G278" s="117">
        <v>4717.25</v>
      </c>
      <c r="H278" s="116">
        <v>0</v>
      </c>
      <c r="I278" s="116" t="s">
        <v>322</v>
      </c>
      <c r="J278" s="117">
        <v>0</v>
      </c>
      <c r="K278" s="117">
        <v>0</v>
      </c>
      <c r="L278" s="117">
        <v>0</v>
      </c>
      <c r="M278" s="117">
        <v>0</v>
      </c>
      <c r="N278" s="117">
        <v>0</v>
      </c>
      <c r="O278" s="117">
        <v>1651.14</v>
      </c>
      <c r="P278" s="109">
        <v>290.85000000000002</v>
      </c>
      <c r="Q278" s="109">
        <v>486.35</v>
      </c>
      <c r="R278" s="109">
        <v>5591.19</v>
      </c>
    </row>
    <row r="279" spans="1:18" x14ac:dyDescent="0.3">
      <c r="A279" s="116" t="s">
        <v>371</v>
      </c>
      <c r="B279" s="116" t="s">
        <v>322</v>
      </c>
      <c r="C279" s="116" t="s">
        <v>369</v>
      </c>
      <c r="D279" s="116" t="s">
        <v>399</v>
      </c>
      <c r="E279" s="116" t="s">
        <v>495</v>
      </c>
      <c r="F279" s="116">
        <v>40</v>
      </c>
      <c r="G279" s="117">
        <v>10198.35</v>
      </c>
      <c r="H279" s="116">
        <v>0</v>
      </c>
      <c r="I279" s="116" t="s">
        <v>322</v>
      </c>
      <c r="J279" s="117">
        <v>0</v>
      </c>
      <c r="K279" s="117">
        <v>0</v>
      </c>
      <c r="L279" s="117">
        <v>0</v>
      </c>
      <c r="M279" s="117">
        <v>0</v>
      </c>
      <c r="N279" s="117">
        <v>0</v>
      </c>
      <c r="O279" s="117">
        <v>3074.19</v>
      </c>
      <c r="P279" s="109">
        <v>1625.7</v>
      </c>
      <c r="Q279" s="109">
        <v>1068.68</v>
      </c>
      <c r="R279" s="109">
        <v>10578.16</v>
      </c>
    </row>
    <row r="280" spans="1:18" x14ac:dyDescent="0.3">
      <c r="A280" s="116" t="s">
        <v>371</v>
      </c>
      <c r="B280" s="116" t="s">
        <v>322</v>
      </c>
      <c r="C280" s="116"/>
      <c r="D280" s="116" t="s">
        <v>399</v>
      </c>
      <c r="E280" s="116" t="s">
        <v>435</v>
      </c>
      <c r="F280" s="116">
        <v>40</v>
      </c>
      <c r="G280" s="117">
        <v>8923.2900000000009</v>
      </c>
      <c r="H280" s="116">
        <v>0</v>
      </c>
      <c r="I280" s="116" t="s">
        <v>322</v>
      </c>
      <c r="J280" s="117">
        <v>0</v>
      </c>
      <c r="K280" s="117">
        <v>0</v>
      </c>
      <c r="L280" s="117">
        <v>0</v>
      </c>
      <c r="M280" s="117">
        <v>0</v>
      </c>
      <c r="N280" s="117">
        <v>0</v>
      </c>
      <c r="O280" s="117">
        <v>3366.96</v>
      </c>
      <c r="P280" s="109">
        <v>1236.56</v>
      </c>
      <c r="Q280" s="109">
        <v>1208.69</v>
      </c>
      <c r="R280" s="109">
        <v>9845</v>
      </c>
    </row>
    <row r="281" spans="1:18" x14ac:dyDescent="0.3">
      <c r="A281" s="116" t="s">
        <v>371</v>
      </c>
      <c r="B281" s="116" t="s">
        <v>322</v>
      </c>
      <c r="C281" s="116"/>
      <c r="D281" s="116" t="s">
        <v>399</v>
      </c>
      <c r="E281" s="116" t="s">
        <v>432</v>
      </c>
      <c r="F281" s="116">
        <v>40</v>
      </c>
      <c r="G281" s="117">
        <v>10254.77</v>
      </c>
      <c r="H281" s="116">
        <v>0</v>
      </c>
      <c r="I281" s="116" t="s">
        <v>322</v>
      </c>
      <c r="J281" s="117">
        <v>0</v>
      </c>
      <c r="K281" s="117">
        <v>0</v>
      </c>
      <c r="L281" s="117">
        <v>0</v>
      </c>
      <c r="M281" s="117">
        <v>0</v>
      </c>
      <c r="N281" s="117">
        <v>0</v>
      </c>
      <c r="O281" s="117">
        <v>3074.19</v>
      </c>
      <c r="P281" s="109">
        <v>1723.51</v>
      </c>
      <c r="Q281" s="109">
        <v>769.43</v>
      </c>
      <c r="R281" s="109">
        <v>10836.02</v>
      </c>
    </row>
    <row r="282" spans="1:18" x14ac:dyDescent="0.3">
      <c r="A282" s="116" t="s">
        <v>371</v>
      </c>
      <c r="B282" s="116" t="s">
        <v>322</v>
      </c>
      <c r="C282" s="116"/>
      <c r="D282" s="116" t="s">
        <v>399</v>
      </c>
      <c r="E282" s="116" t="s">
        <v>480</v>
      </c>
      <c r="F282" s="116">
        <v>40</v>
      </c>
      <c r="G282" s="117">
        <v>8042.87</v>
      </c>
      <c r="H282" s="116">
        <v>0</v>
      </c>
      <c r="I282" s="116" t="s">
        <v>322</v>
      </c>
      <c r="J282" s="117">
        <v>0</v>
      </c>
      <c r="K282" s="117">
        <v>0</v>
      </c>
      <c r="L282" s="117">
        <v>0</v>
      </c>
      <c r="M282" s="117">
        <v>0</v>
      </c>
      <c r="N282" s="117">
        <v>0</v>
      </c>
      <c r="O282" s="117">
        <v>1756.68</v>
      </c>
      <c r="P282" s="109">
        <v>1033.18</v>
      </c>
      <c r="Q282" s="109">
        <v>1067.82</v>
      </c>
      <c r="R282" s="109">
        <v>7698.55</v>
      </c>
    </row>
    <row r="283" spans="1:18" x14ac:dyDescent="0.3">
      <c r="A283" s="116" t="s">
        <v>371</v>
      </c>
      <c r="B283" s="116" t="s">
        <v>322</v>
      </c>
      <c r="C283" s="116"/>
      <c r="D283" s="116" t="s">
        <v>399</v>
      </c>
      <c r="E283" s="116" t="s">
        <v>496</v>
      </c>
      <c r="F283" s="116">
        <v>40</v>
      </c>
      <c r="G283" s="117">
        <v>9868.2199999999993</v>
      </c>
      <c r="H283" s="116">
        <v>0</v>
      </c>
      <c r="I283" s="116" t="s">
        <v>322</v>
      </c>
      <c r="J283" s="117">
        <v>0</v>
      </c>
      <c r="K283" s="117">
        <v>0</v>
      </c>
      <c r="L283" s="117">
        <v>0</v>
      </c>
      <c r="M283" s="117">
        <v>0</v>
      </c>
      <c r="N283" s="117">
        <v>0</v>
      </c>
      <c r="O283" s="117">
        <v>3074.19</v>
      </c>
      <c r="P283" s="109">
        <v>1454.83</v>
      </c>
      <c r="Q283" s="109">
        <v>1359.88</v>
      </c>
      <c r="R283" s="109">
        <v>10127.700000000001</v>
      </c>
    </row>
    <row r="284" spans="1:18" x14ac:dyDescent="0.3">
      <c r="A284" s="116" t="s">
        <v>371</v>
      </c>
      <c r="B284" s="116" t="s">
        <v>322</v>
      </c>
      <c r="C284" s="116"/>
      <c r="D284" s="116" t="s">
        <v>399</v>
      </c>
      <c r="E284" s="116" t="s">
        <v>435</v>
      </c>
      <c r="F284" s="116">
        <v>40</v>
      </c>
      <c r="G284" s="117">
        <v>9860.73</v>
      </c>
      <c r="H284" s="116">
        <v>0</v>
      </c>
      <c r="I284" s="116" t="s">
        <v>322</v>
      </c>
      <c r="J284" s="117">
        <v>0</v>
      </c>
      <c r="K284" s="117">
        <v>0</v>
      </c>
      <c r="L284" s="117">
        <v>0</v>
      </c>
      <c r="M284" s="117">
        <v>0</v>
      </c>
      <c r="N284" s="117">
        <v>0</v>
      </c>
      <c r="O284" s="117">
        <v>3366.96</v>
      </c>
      <c r="P284" s="109">
        <v>1615.13</v>
      </c>
      <c r="Q284" s="109">
        <v>769.48</v>
      </c>
      <c r="R284" s="109">
        <v>10843.08</v>
      </c>
    </row>
    <row r="285" spans="1:18" x14ac:dyDescent="0.3">
      <c r="A285" s="116" t="s">
        <v>371</v>
      </c>
      <c r="B285" s="116" t="s">
        <v>322</v>
      </c>
      <c r="C285" s="116"/>
      <c r="D285" s="116" t="s">
        <v>399</v>
      </c>
      <c r="E285" s="116" t="s">
        <v>462</v>
      </c>
      <c r="F285" s="116">
        <v>40</v>
      </c>
      <c r="G285" s="117">
        <v>9801.75</v>
      </c>
      <c r="H285" s="116">
        <v>0</v>
      </c>
      <c r="I285" s="116" t="s">
        <v>322</v>
      </c>
      <c r="J285" s="117">
        <v>0</v>
      </c>
      <c r="K285" s="117">
        <v>0</v>
      </c>
      <c r="L285" s="117">
        <v>0</v>
      </c>
      <c r="M285" s="117">
        <v>0</v>
      </c>
      <c r="N285" s="117">
        <v>0</v>
      </c>
      <c r="O285" s="117">
        <v>0</v>
      </c>
      <c r="P285" s="109">
        <v>1620.67</v>
      </c>
      <c r="Q285" s="109">
        <v>690.38</v>
      </c>
      <c r="R285" s="109">
        <v>7490.7</v>
      </c>
    </row>
    <row r="286" spans="1:18" x14ac:dyDescent="0.3">
      <c r="A286" s="116" t="s">
        <v>371</v>
      </c>
      <c r="B286" s="116" t="s">
        <v>322</v>
      </c>
      <c r="C286" s="116"/>
      <c r="D286" s="116" t="s">
        <v>399</v>
      </c>
      <c r="E286" s="116" t="s">
        <v>435</v>
      </c>
      <c r="F286" s="116">
        <v>40</v>
      </c>
      <c r="G286" s="117">
        <v>7742.48</v>
      </c>
      <c r="H286" s="116">
        <v>0</v>
      </c>
      <c r="I286" s="116" t="s">
        <v>322</v>
      </c>
      <c r="J286" s="117">
        <v>0</v>
      </c>
      <c r="K286" s="117">
        <v>0</v>
      </c>
      <c r="L286" s="117">
        <v>0</v>
      </c>
      <c r="M286" s="117">
        <v>0</v>
      </c>
      <c r="N286" s="117">
        <v>0</v>
      </c>
      <c r="O286" s="117">
        <v>3366.96</v>
      </c>
      <c r="P286" s="109">
        <v>974.13</v>
      </c>
      <c r="Q286" s="109">
        <v>982.16</v>
      </c>
      <c r="R286" s="109">
        <v>9153.15</v>
      </c>
    </row>
    <row r="287" spans="1:18" x14ac:dyDescent="0.3">
      <c r="A287" s="116" t="s">
        <v>371</v>
      </c>
      <c r="B287" s="116" t="s">
        <v>322</v>
      </c>
      <c r="C287" s="116"/>
      <c r="D287" s="116" t="s">
        <v>399</v>
      </c>
      <c r="E287" s="116" t="s">
        <v>456</v>
      </c>
      <c r="F287" s="116">
        <v>40</v>
      </c>
      <c r="G287" s="117">
        <v>7696.16</v>
      </c>
      <c r="H287" s="116">
        <v>0</v>
      </c>
      <c r="I287" s="116" t="s">
        <v>322</v>
      </c>
      <c r="J287" s="117">
        <v>0</v>
      </c>
      <c r="K287" s="117">
        <v>0</v>
      </c>
      <c r="L287" s="117">
        <v>0</v>
      </c>
      <c r="M287" s="117">
        <v>0</v>
      </c>
      <c r="N287" s="117">
        <v>0</v>
      </c>
      <c r="O287" s="117">
        <v>2342.2399999999998</v>
      </c>
      <c r="P287" s="109">
        <v>953.09</v>
      </c>
      <c r="Q287" s="109">
        <v>1012.35</v>
      </c>
      <c r="R287" s="109">
        <v>8072.96</v>
      </c>
    </row>
    <row r="288" spans="1:18" x14ac:dyDescent="0.3">
      <c r="A288" s="116" t="s">
        <v>371</v>
      </c>
      <c r="B288" s="116" t="s">
        <v>322</v>
      </c>
      <c r="C288" s="116"/>
      <c r="D288" s="116" t="s">
        <v>399</v>
      </c>
      <c r="E288" s="116" t="s">
        <v>497</v>
      </c>
      <c r="F288" s="116">
        <v>40</v>
      </c>
      <c r="G288" s="117">
        <v>10702.64</v>
      </c>
      <c r="H288" s="116">
        <v>0</v>
      </c>
      <c r="I288" s="116" t="s">
        <v>322</v>
      </c>
      <c r="J288" s="117">
        <v>0</v>
      </c>
      <c r="K288" s="117">
        <v>0</v>
      </c>
      <c r="L288" s="117">
        <v>0</v>
      </c>
      <c r="M288" s="117">
        <v>0</v>
      </c>
      <c r="N288" s="117">
        <v>0</v>
      </c>
      <c r="O288" s="117">
        <v>3366.96</v>
      </c>
      <c r="P288" s="109">
        <v>1636.89</v>
      </c>
      <c r="Q288" s="109">
        <v>1342.69</v>
      </c>
      <c r="R288" s="109">
        <v>11090.02</v>
      </c>
    </row>
    <row r="289" spans="1:18" x14ac:dyDescent="0.3">
      <c r="A289" s="116" t="s">
        <v>371</v>
      </c>
      <c r="B289" s="116" t="s">
        <v>322</v>
      </c>
      <c r="C289" s="116" t="s">
        <v>369</v>
      </c>
      <c r="D289" s="116" t="s">
        <v>399</v>
      </c>
      <c r="E289" s="116" t="s">
        <v>432</v>
      </c>
      <c r="F289" s="116">
        <v>40</v>
      </c>
      <c r="G289" s="117">
        <v>11563.04</v>
      </c>
      <c r="H289" s="116">
        <v>0</v>
      </c>
      <c r="I289" s="116" t="s">
        <v>322</v>
      </c>
      <c r="J289" s="117">
        <v>0</v>
      </c>
      <c r="K289" s="117">
        <v>0</v>
      </c>
      <c r="L289" s="117">
        <v>0</v>
      </c>
      <c r="M289" s="117">
        <v>0</v>
      </c>
      <c r="N289" s="117">
        <v>0</v>
      </c>
      <c r="O289" s="117">
        <v>1610.29</v>
      </c>
      <c r="P289" s="109">
        <v>1888.81</v>
      </c>
      <c r="Q289" s="109">
        <v>1287.03</v>
      </c>
      <c r="R289" s="109">
        <v>9997.49</v>
      </c>
    </row>
    <row r="290" spans="1:18" x14ac:dyDescent="0.3">
      <c r="A290" s="116" t="s">
        <v>371</v>
      </c>
      <c r="B290" s="116" t="s">
        <v>322</v>
      </c>
      <c r="C290" s="116"/>
      <c r="D290" s="116" t="s">
        <v>399</v>
      </c>
      <c r="E290" s="116" t="s">
        <v>385</v>
      </c>
      <c r="F290" s="116">
        <v>40</v>
      </c>
      <c r="G290" s="117">
        <v>7696.16</v>
      </c>
      <c r="H290" s="116">
        <v>0</v>
      </c>
      <c r="I290" s="116" t="s">
        <v>322</v>
      </c>
      <c r="J290" s="117">
        <v>0</v>
      </c>
      <c r="K290" s="117">
        <v>0</v>
      </c>
      <c r="L290" s="117">
        <v>0</v>
      </c>
      <c r="M290" s="117">
        <v>0</v>
      </c>
      <c r="N290" s="117">
        <v>0</v>
      </c>
      <c r="O290" s="117">
        <v>3074.19</v>
      </c>
      <c r="P290" s="109">
        <v>953.09</v>
      </c>
      <c r="Q290" s="109">
        <v>1012.35</v>
      </c>
      <c r="R290" s="109">
        <v>8804.91</v>
      </c>
    </row>
    <row r="291" spans="1:18" x14ac:dyDescent="0.3">
      <c r="A291" s="116" t="s">
        <v>371</v>
      </c>
      <c r="B291" s="116" t="s">
        <v>390</v>
      </c>
      <c r="C291" s="116"/>
      <c r="D291" s="116" t="s">
        <v>399</v>
      </c>
      <c r="E291" s="116" t="s">
        <v>498</v>
      </c>
      <c r="F291" s="116">
        <v>40</v>
      </c>
      <c r="G291" s="117">
        <v>15997.25</v>
      </c>
      <c r="H291" s="116">
        <v>0</v>
      </c>
      <c r="I291" s="116" t="s">
        <v>322</v>
      </c>
      <c r="J291" s="117">
        <v>0</v>
      </c>
      <c r="K291" s="117">
        <v>0</v>
      </c>
      <c r="L291" s="117">
        <v>0</v>
      </c>
      <c r="M291" s="117">
        <v>0</v>
      </c>
      <c r="N291" s="117">
        <v>0</v>
      </c>
      <c r="O291" s="117">
        <v>5325.62</v>
      </c>
      <c r="P291" s="109">
        <v>3514.28</v>
      </c>
      <c r="Q291" s="109">
        <v>2105.0500000000002</v>
      </c>
      <c r="R291" s="109">
        <v>15703.54</v>
      </c>
    </row>
    <row r="292" spans="1:18" x14ac:dyDescent="0.3">
      <c r="A292" s="116" t="s">
        <v>371</v>
      </c>
      <c r="B292" s="116" t="s">
        <v>322</v>
      </c>
      <c r="C292" s="116" t="s">
        <v>499</v>
      </c>
      <c r="D292" s="116" t="s">
        <v>399</v>
      </c>
      <c r="E292" s="116" t="s">
        <v>402</v>
      </c>
      <c r="F292" s="116">
        <v>40</v>
      </c>
      <c r="G292" s="117">
        <v>8783.94</v>
      </c>
      <c r="H292" s="116">
        <v>0</v>
      </c>
      <c r="I292" s="116" t="s">
        <v>322</v>
      </c>
      <c r="J292" s="117">
        <v>0</v>
      </c>
      <c r="K292" s="117">
        <v>0</v>
      </c>
      <c r="L292" s="117">
        <v>0</v>
      </c>
      <c r="M292" s="117">
        <v>0</v>
      </c>
      <c r="N292" s="117">
        <v>0</v>
      </c>
      <c r="O292" s="117">
        <v>2195.85</v>
      </c>
      <c r="P292" s="109">
        <v>1252.6500000000001</v>
      </c>
      <c r="Q292" s="109">
        <v>1010.8</v>
      </c>
      <c r="R292" s="109">
        <v>8716.34</v>
      </c>
    </row>
    <row r="293" spans="1:18" x14ac:dyDescent="0.3">
      <c r="A293" s="116" t="s">
        <v>371</v>
      </c>
      <c r="B293" s="116" t="s">
        <v>322</v>
      </c>
      <c r="C293" s="116"/>
      <c r="D293" s="116" t="s">
        <v>399</v>
      </c>
      <c r="E293" s="116" t="s">
        <v>481</v>
      </c>
      <c r="F293" s="116">
        <v>40</v>
      </c>
      <c r="G293" s="117">
        <v>8097.93</v>
      </c>
      <c r="H293" s="116">
        <v>0</v>
      </c>
      <c r="I293" s="116" t="s">
        <v>322</v>
      </c>
      <c r="J293" s="117">
        <v>0</v>
      </c>
      <c r="K293" s="117">
        <v>0</v>
      </c>
      <c r="L293" s="117">
        <v>0</v>
      </c>
      <c r="M293" s="117">
        <v>0</v>
      </c>
      <c r="N293" s="117">
        <v>0</v>
      </c>
      <c r="O293" s="117">
        <v>3366.96</v>
      </c>
      <c r="P293" s="109">
        <v>1079.74</v>
      </c>
      <c r="Q293" s="109">
        <v>953.57</v>
      </c>
      <c r="R293" s="109">
        <v>9431.58</v>
      </c>
    </row>
    <row r="294" spans="1:18" x14ac:dyDescent="0.3">
      <c r="A294" s="116" t="s">
        <v>371</v>
      </c>
      <c r="B294" s="116" t="s">
        <v>322</v>
      </c>
      <c r="C294" s="116" t="s">
        <v>382</v>
      </c>
      <c r="D294" s="116" t="s">
        <v>399</v>
      </c>
      <c r="E294" s="116" t="s">
        <v>435</v>
      </c>
      <c r="F294" s="116">
        <v>40</v>
      </c>
      <c r="G294" s="117">
        <v>15595.7</v>
      </c>
      <c r="H294" s="116">
        <v>0</v>
      </c>
      <c r="I294" s="116" t="s">
        <v>322</v>
      </c>
      <c r="J294" s="117">
        <v>0</v>
      </c>
      <c r="K294" s="117">
        <v>0</v>
      </c>
      <c r="L294" s="117">
        <v>0</v>
      </c>
      <c r="M294" s="117">
        <v>0</v>
      </c>
      <c r="N294" s="117">
        <v>0</v>
      </c>
      <c r="O294" s="117">
        <v>3074.19</v>
      </c>
      <c r="P294" s="109">
        <v>2808.68</v>
      </c>
      <c r="Q294" s="109">
        <v>2164.27</v>
      </c>
      <c r="R294" s="109">
        <v>13696.94</v>
      </c>
    </row>
    <row r="295" spans="1:18" x14ac:dyDescent="0.3">
      <c r="A295" s="116" t="s">
        <v>371</v>
      </c>
      <c r="B295" s="116" t="s">
        <v>322</v>
      </c>
      <c r="C295" s="116"/>
      <c r="D295" s="116" t="s">
        <v>399</v>
      </c>
      <c r="E295" s="116" t="s">
        <v>440</v>
      </c>
      <c r="F295" s="116">
        <v>40</v>
      </c>
      <c r="G295" s="117">
        <v>7688.03</v>
      </c>
      <c r="H295" s="116">
        <v>0</v>
      </c>
      <c r="I295" s="116" t="s">
        <v>322</v>
      </c>
      <c r="J295" s="117">
        <v>0</v>
      </c>
      <c r="K295" s="117">
        <v>0</v>
      </c>
      <c r="L295" s="117">
        <v>0</v>
      </c>
      <c r="M295" s="117">
        <v>0</v>
      </c>
      <c r="N295" s="117">
        <v>0</v>
      </c>
      <c r="O295" s="117">
        <v>3074.19</v>
      </c>
      <c r="P295" s="109">
        <v>951.21</v>
      </c>
      <c r="Q295" s="109">
        <v>1011.04</v>
      </c>
      <c r="R295" s="109">
        <v>8799.9699999999993</v>
      </c>
    </row>
    <row r="296" spans="1:18" x14ac:dyDescent="0.3">
      <c r="A296" s="116" t="s">
        <v>371</v>
      </c>
      <c r="B296" s="116" t="s">
        <v>322</v>
      </c>
      <c r="C296" s="116" t="s">
        <v>350</v>
      </c>
      <c r="D296" s="116" t="s">
        <v>399</v>
      </c>
      <c r="E296" s="116" t="s">
        <v>500</v>
      </c>
      <c r="F296" s="116">
        <v>40</v>
      </c>
      <c r="G296" s="117">
        <v>11680.12</v>
      </c>
      <c r="H296" s="116">
        <v>0</v>
      </c>
      <c r="I296" s="116" t="s">
        <v>322</v>
      </c>
      <c r="J296" s="117">
        <v>0</v>
      </c>
      <c r="K296" s="117">
        <v>0</v>
      </c>
      <c r="L296" s="117">
        <v>0</v>
      </c>
      <c r="M296" s="117">
        <v>0</v>
      </c>
      <c r="N296" s="117">
        <v>0</v>
      </c>
      <c r="O296" s="117">
        <v>1756.67</v>
      </c>
      <c r="P296" s="109">
        <v>1945.15</v>
      </c>
      <c r="Q296" s="109">
        <v>1199.22</v>
      </c>
      <c r="R296" s="109">
        <v>10292.42</v>
      </c>
    </row>
    <row r="297" spans="1:18" x14ac:dyDescent="0.3">
      <c r="A297" s="116" t="s">
        <v>371</v>
      </c>
      <c r="B297" s="116" t="s">
        <v>322</v>
      </c>
      <c r="C297" s="116"/>
      <c r="D297" s="116" t="s">
        <v>399</v>
      </c>
      <c r="E297" s="116" t="s">
        <v>501</v>
      </c>
      <c r="F297" s="116">
        <v>40</v>
      </c>
      <c r="G297" s="117">
        <v>10129.040000000001</v>
      </c>
      <c r="H297" s="116">
        <v>0</v>
      </c>
      <c r="I297" s="116" t="s">
        <v>322</v>
      </c>
      <c r="J297" s="117">
        <v>0</v>
      </c>
      <c r="K297" s="117">
        <v>0</v>
      </c>
      <c r="L297" s="117">
        <v>0</v>
      </c>
      <c r="M297" s="117">
        <v>0</v>
      </c>
      <c r="N297" s="117">
        <v>0</v>
      </c>
      <c r="O297" s="117">
        <v>3366.96</v>
      </c>
      <c r="P297" s="109">
        <v>1515.08</v>
      </c>
      <c r="Q297" s="109">
        <v>1401.61</v>
      </c>
      <c r="R297" s="109">
        <v>10579.31</v>
      </c>
    </row>
    <row r="298" spans="1:18" x14ac:dyDescent="0.3">
      <c r="A298" s="116" t="s">
        <v>371</v>
      </c>
      <c r="B298" s="116" t="s">
        <v>322</v>
      </c>
      <c r="C298" s="116"/>
      <c r="D298" s="116" t="s">
        <v>399</v>
      </c>
      <c r="E298" s="116" t="s">
        <v>502</v>
      </c>
      <c r="F298" s="116">
        <v>40</v>
      </c>
      <c r="G298" s="117">
        <v>10180.08</v>
      </c>
      <c r="H298" s="116">
        <v>0</v>
      </c>
      <c r="I298" s="116" t="s">
        <v>322</v>
      </c>
      <c r="J298" s="117">
        <v>0</v>
      </c>
      <c r="K298" s="117">
        <v>0</v>
      </c>
      <c r="L298" s="117">
        <v>0</v>
      </c>
      <c r="M298" s="117">
        <v>0</v>
      </c>
      <c r="N298" s="117">
        <v>0</v>
      </c>
      <c r="O298" s="117">
        <v>1903.06</v>
      </c>
      <c r="P298" s="109">
        <v>1526.87</v>
      </c>
      <c r="Q298" s="109">
        <v>1409.77</v>
      </c>
      <c r="R298" s="109">
        <v>9146.5</v>
      </c>
    </row>
    <row r="299" spans="1:18" x14ac:dyDescent="0.3">
      <c r="A299" s="116" t="s">
        <v>371</v>
      </c>
      <c r="B299" s="116" t="s">
        <v>322</v>
      </c>
      <c r="C299" s="116"/>
      <c r="D299" s="116" t="s">
        <v>399</v>
      </c>
      <c r="E299" s="116" t="s">
        <v>402</v>
      </c>
      <c r="F299" s="116">
        <v>40</v>
      </c>
      <c r="G299" s="117">
        <v>7121.62</v>
      </c>
      <c r="H299" s="116">
        <v>0</v>
      </c>
      <c r="I299" s="116" t="s">
        <v>322</v>
      </c>
      <c r="J299" s="117">
        <v>0</v>
      </c>
      <c r="K299" s="117">
        <v>0</v>
      </c>
      <c r="L299" s="117">
        <v>0</v>
      </c>
      <c r="M299" s="117">
        <v>0</v>
      </c>
      <c r="N299" s="117">
        <v>0</v>
      </c>
      <c r="O299" s="117">
        <v>3074.19</v>
      </c>
      <c r="P299" s="109">
        <v>819.84</v>
      </c>
      <c r="Q299" s="109">
        <v>922.35</v>
      </c>
      <c r="R299" s="109">
        <v>8453.6200000000008</v>
      </c>
    </row>
    <row r="300" spans="1:18" x14ac:dyDescent="0.3">
      <c r="A300" s="116" t="s">
        <v>371</v>
      </c>
      <c r="B300" s="116" t="s">
        <v>322</v>
      </c>
      <c r="C300" s="116"/>
      <c r="D300" s="116" t="s">
        <v>399</v>
      </c>
      <c r="E300" s="116" t="s">
        <v>503</v>
      </c>
      <c r="F300" s="116">
        <v>40</v>
      </c>
      <c r="G300" s="117">
        <v>9609.5400000000009</v>
      </c>
      <c r="H300" s="116">
        <v>0</v>
      </c>
      <c r="I300" s="116" t="s">
        <v>322</v>
      </c>
      <c r="J300" s="117">
        <v>0</v>
      </c>
      <c r="K300" s="117">
        <v>0</v>
      </c>
      <c r="L300" s="117">
        <v>0</v>
      </c>
      <c r="M300" s="117">
        <v>0</v>
      </c>
      <c r="N300" s="117">
        <v>0</v>
      </c>
      <c r="O300" s="117">
        <v>1611.26</v>
      </c>
      <c r="P300" s="109">
        <v>1757.66</v>
      </c>
      <c r="Q300" s="109">
        <v>1318.49</v>
      </c>
      <c r="R300" s="109">
        <v>8144.65</v>
      </c>
    </row>
    <row r="301" spans="1:18" x14ac:dyDescent="0.3">
      <c r="A301" s="116" t="s">
        <v>371</v>
      </c>
      <c r="B301" s="116" t="s">
        <v>322</v>
      </c>
      <c r="C301" s="116" t="s">
        <v>350</v>
      </c>
      <c r="D301" s="116" t="s">
        <v>399</v>
      </c>
      <c r="E301" s="116" t="s">
        <v>482</v>
      </c>
      <c r="F301" s="116">
        <v>40</v>
      </c>
      <c r="G301" s="117">
        <v>10500.22</v>
      </c>
      <c r="H301" s="116">
        <v>0</v>
      </c>
      <c r="I301" s="116" t="s">
        <v>322</v>
      </c>
      <c r="J301" s="117">
        <v>3500.07</v>
      </c>
      <c r="K301" s="117">
        <v>0</v>
      </c>
      <c r="L301" s="117">
        <v>0</v>
      </c>
      <c r="M301" s="117">
        <v>0</v>
      </c>
      <c r="N301" s="117">
        <v>0</v>
      </c>
      <c r="O301" s="117">
        <v>3366.96</v>
      </c>
      <c r="P301" s="109">
        <v>1879.34</v>
      </c>
      <c r="Q301" s="109">
        <v>1010.44</v>
      </c>
      <c r="R301" s="109">
        <v>14477.47</v>
      </c>
    </row>
    <row r="302" spans="1:18" x14ac:dyDescent="0.3">
      <c r="A302" s="116" t="s">
        <v>371</v>
      </c>
      <c r="B302" s="116" t="s">
        <v>322</v>
      </c>
      <c r="C302" s="116" t="s">
        <v>382</v>
      </c>
      <c r="D302" s="116" t="s">
        <v>399</v>
      </c>
      <c r="E302" s="116" t="s">
        <v>435</v>
      </c>
      <c r="F302" s="116">
        <v>40</v>
      </c>
      <c r="G302" s="117">
        <v>13558.99</v>
      </c>
      <c r="H302" s="116">
        <v>0</v>
      </c>
      <c r="I302" s="116" t="s">
        <v>322</v>
      </c>
      <c r="J302" s="117">
        <v>0</v>
      </c>
      <c r="K302" s="117">
        <v>0</v>
      </c>
      <c r="L302" s="117">
        <v>0</v>
      </c>
      <c r="M302" s="117">
        <v>0</v>
      </c>
      <c r="N302" s="117">
        <v>0</v>
      </c>
      <c r="O302" s="117">
        <v>3366.96</v>
      </c>
      <c r="P302" s="109">
        <v>2344.36</v>
      </c>
      <c r="Q302" s="109">
        <v>1816</v>
      </c>
      <c r="R302" s="109">
        <v>12765.59</v>
      </c>
    </row>
    <row r="303" spans="1:18" x14ac:dyDescent="0.3">
      <c r="A303" s="116" t="s">
        <v>371</v>
      </c>
      <c r="B303" s="116" t="s">
        <v>322</v>
      </c>
      <c r="C303" s="116" t="s">
        <v>499</v>
      </c>
      <c r="D303" s="116" t="s">
        <v>399</v>
      </c>
      <c r="E303" s="116" t="s">
        <v>325</v>
      </c>
      <c r="F303" s="116">
        <v>40</v>
      </c>
      <c r="G303" s="117">
        <v>22960.66</v>
      </c>
      <c r="H303" s="116">
        <v>0</v>
      </c>
      <c r="I303" s="116" t="s">
        <v>322</v>
      </c>
      <c r="J303" s="117">
        <v>0</v>
      </c>
      <c r="K303" s="117">
        <v>0</v>
      </c>
      <c r="L303" s="117">
        <v>0</v>
      </c>
      <c r="M303" s="117">
        <v>0</v>
      </c>
      <c r="N303" s="117">
        <v>0</v>
      </c>
      <c r="O303" s="117">
        <v>6024.63</v>
      </c>
      <c r="P303" s="109">
        <v>3741.82</v>
      </c>
      <c r="Q303" s="109">
        <v>3096.83</v>
      </c>
      <c r="R303" s="109">
        <v>22146.639999999999</v>
      </c>
    </row>
    <row r="304" spans="1:18" x14ac:dyDescent="0.3">
      <c r="A304" s="116" t="s">
        <v>371</v>
      </c>
      <c r="B304" s="116" t="s">
        <v>390</v>
      </c>
      <c r="C304" s="116"/>
      <c r="D304" s="116" t="s">
        <v>399</v>
      </c>
      <c r="E304" s="116" t="s">
        <v>401</v>
      </c>
      <c r="F304" s="116">
        <v>40</v>
      </c>
      <c r="G304" s="117">
        <v>15373.6</v>
      </c>
      <c r="H304" s="116">
        <v>0</v>
      </c>
      <c r="I304" s="116" t="s">
        <v>322</v>
      </c>
      <c r="J304" s="117">
        <v>0</v>
      </c>
      <c r="K304" s="117">
        <v>0</v>
      </c>
      <c r="L304" s="117">
        <v>0</v>
      </c>
      <c r="M304" s="117">
        <v>0</v>
      </c>
      <c r="N304" s="117">
        <v>0</v>
      </c>
      <c r="O304" s="117">
        <v>5607.7</v>
      </c>
      <c r="P304" s="109">
        <v>3342.78</v>
      </c>
      <c r="Q304" s="109">
        <v>2240.7399999999998</v>
      </c>
      <c r="R304" s="109">
        <v>15397.78</v>
      </c>
    </row>
    <row r="305" spans="1:18" x14ac:dyDescent="0.3">
      <c r="A305" s="116" t="s">
        <v>371</v>
      </c>
      <c r="B305" s="116" t="s">
        <v>322</v>
      </c>
      <c r="C305" s="116"/>
      <c r="D305" s="116" t="s">
        <v>399</v>
      </c>
      <c r="E305" s="116" t="s">
        <v>484</v>
      </c>
      <c r="F305" s="116">
        <v>40</v>
      </c>
      <c r="G305" s="117">
        <v>7689.85</v>
      </c>
      <c r="H305" s="116">
        <v>0</v>
      </c>
      <c r="I305" s="116" t="s">
        <v>322</v>
      </c>
      <c r="J305" s="117">
        <v>0</v>
      </c>
      <c r="K305" s="117">
        <v>0</v>
      </c>
      <c r="L305" s="117">
        <v>0</v>
      </c>
      <c r="M305" s="117">
        <v>0</v>
      </c>
      <c r="N305" s="117">
        <v>0</v>
      </c>
      <c r="O305" s="117">
        <v>2635.01</v>
      </c>
      <c r="P305" s="109">
        <v>951.63</v>
      </c>
      <c r="Q305" s="109">
        <v>1011.34</v>
      </c>
      <c r="R305" s="109">
        <v>8361.89</v>
      </c>
    </row>
    <row r="306" spans="1:18" x14ac:dyDescent="0.3">
      <c r="A306" s="116" t="s">
        <v>371</v>
      </c>
      <c r="B306" s="116" t="s">
        <v>322</v>
      </c>
      <c r="C306" s="116"/>
      <c r="D306" s="116" t="s">
        <v>399</v>
      </c>
      <c r="E306" s="116" t="s">
        <v>402</v>
      </c>
      <c r="F306" s="116">
        <v>40</v>
      </c>
      <c r="G306" s="117">
        <v>7680.63</v>
      </c>
      <c r="H306" s="116">
        <v>0</v>
      </c>
      <c r="I306" s="116" t="s">
        <v>322</v>
      </c>
      <c r="J306" s="117">
        <v>0</v>
      </c>
      <c r="K306" s="117">
        <v>0</v>
      </c>
      <c r="L306" s="117">
        <v>0</v>
      </c>
      <c r="M306" s="117">
        <v>0</v>
      </c>
      <c r="N306" s="117">
        <v>0</v>
      </c>
      <c r="O306" s="117">
        <v>2781.41</v>
      </c>
      <c r="P306" s="109">
        <v>949.5</v>
      </c>
      <c r="Q306" s="109">
        <v>1009.86</v>
      </c>
      <c r="R306" s="109">
        <v>8502.68</v>
      </c>
    </row>
    <row r="307" spans="1:18" x14ac:dyDescent="0.3">
      <c r="A307" s="116" t="s">
        <v>371</v>
      </c>
      <c r="B307" s="116" t="s">
        <v>322</v>
      </c>
      <c r="C307" s="116" t="s">
        <v>406</v>
      </c>
      <c r="D307" s="116" t="s">
        <v>399</v>
      </c>
      <c r="E307" s="116" t="s">
        <v>504</v>
      </c>
      <c r="F307" s="116">
        <v>40</v>
      </c>
      <c r="G307" s="117">
        <v>11494.57</v>
      </c>
      <c r="H307" s="116">
        <v>0</v>
      </c>
      <c r="I307" s="116" t="s">
        <v>322</v>
      </c>
      <c r="J307" s="117">
        <v>0</v>
      </c>
      <c r="K307" s="117">
        <v>0</v>
      </c>
      <c r="L307" s="117">
        <v>0</v>
      </c>
      <c r="M307" s="117">
        <v>0</v>
      </c>
      <c r="N307" s="117">
        <v>0</v>
      </c>
      <c r="O307" s="117">
        <v>3366.96</v>
      </c>
      <c r="P307" s="109">
        <v>1763.08</v>
      </c>
      <c r="Q307" s="109">
        <v>1296.56</v>
      </c>
      <c r="R307" s="109">
        <v>11801.89</v>
      </c>
    </row>
    <row r="308" spans="1:18" x14ac:dyDescent="0.3">
      <c r="A308" s="116" t="s">
        <v>371</v>
      </c>
      <c r="B308" s="116" t="s">
        <v>322</v>
      </c>
      <c r="C308" s="116"/>
      <c r="D308" s="116" t="s">
        <v>399</v>
      </c>
      <c r="E308" s="116" t="s">
        <v>387</v>
      </c>
      <c r="F308" s="116">
        <v>40</v>
      </c>
      <c r="G308" s="117">
        <v>14433.02</v>
      </c>
      <c r="H308" s="116">
        <v>0</v>
      </c>
      <c r="I308" s="116" t="s">
        <v>322</v>
      </c>
      <c r="J308" s="117">
        <v>0</v>
      </c>
      <c r="K308" s="117">
        <v>0</v>
      </c>
      <c r="L308" s="117">
        <v>0</v>
      </c>
      <c r="M308" s="117">
        <v>0</v>
      </c>
      <c r="N308" s="117">
        <v>0</v>
      </c>
      <c r="O308" s="117">
        <v>3074.19</v>
      </c>
      <c r="P308" s="109">
        <v>2509.3000000000002</v>
      </c>
      <c r="Q308" s="109">
        <v>2090.2399999999998</v>
      </c>
      <c r="R308" s="109">
        <v>12907.67</v>
      </c>
    </row>
    <row r="309" spans="1:18" x14ac:dyDescent="0.3">
      <c r="A309" s="116" t="s">
        <v>371</v>
      </c>
      <c r="B309" s="116" t="s">
        <v>322</v>
      </c>
      <c r="C309" s="116"/>
      <c r="D309" s="116" t="s">
        <v>399</v>
      </c>
      <c r="E309" s="116" t="s">
        <v>401</v>
      </c>
      <c r="F309" s="116">
        <v>40</v>
      </c>
      <c r="G309" s="117">
        <v>10834.67</v>
      </c>
      <c r="H309" s="116">
        <v>0</v>
      </c>
      <c r="I309" s="116" t="s">
        <v>322</v>
      </c>
      <c r="J309" s="117">
        <v>0</v>
      </c>
      <c r="K309" s="117">
        <v>0</v>
      </c>
      <c r="L309" s="117">
        <v>0</v>
      </c>
      <c r="M309" s="117">
        <v>0</v>
      </c>
      <c r="N309" s="117">
        <v>0</v>
      </c>
      <c r="O309" s="117">
        <v>3366.96</v>
      </c>
      <c r="P309" s="109">
        <v>1678.08</v>
      </c>
      <c r="Q309" s="109">
        <v>1514.51</v>
      </c>
      <c r="R309" s="109">
        <v>11009.04</v>
      </c>
    </row>
    <row r="310" spans="1:18" x14ac:dyDescent="0.3">
      <c r="A310" s="116" t="s">
        <v>371</v>
      </c>
      <c r="B310" s="116" t="s">
        <v>322</v>
      </c>
      <c r="C310" s="116"/>
      <c r="D310" s="116" t="s">
        <v>399</v>
      </c>
      <c r="E310" s="116" t="s">
        <v>325</v>
      </c>
      <c r="F310" s="116">
        <v>40</v>
      </c>
      <c r="G310" s="117">
        <v>9350.2199999999993</v>
      </c>
      <c r="H310" s="116">
        <v>0</v>
      </c>
      <c r="I310" s="116" t="s">
        <v>322</v>
      </c>
      <c r="J310" s="117">
        <v>0</v>
      </c>
      <c r="K310" s="117">
        <v>0</v>
      </c>
      <c r="L310" s="117">
        <v>0</v>
      </c>
      <c r="M310" s="117">
        <v>0</v>
      </c>
      <c r="N310" s="117">
        <v>0</v>
      </c>
      <c r="O310" s="117">
        <v>3074.19</v>
      </c>
      <c r="P310" s="109">
        <v>1283.04</v>
      </c>
      <c r="Q310" s="109">
        <v>1277</v>
      </c>
      <c r="R310" s="109">
        <v>9864.3700000000008</v>
      </c>
    </row>
    <row r="311" spans="1:18" x14ac:dyDescent="0.3">
      <c r="A311" s="116" t="s">
        <v>371</v>
      </c>
      <c r="B311" s="116" t="s">
        <v>322</v>
      </c>
      <c r="C311" s="116" t="s">
        <v>451</v>
      </c>
      <c r="D311" s="116" t="s">
        <v>399</v>
      </c>
      <c r="E311" s="116" t="s">
        <v>402</v>
      </c>
      <c r="F311" s="116">
        <v>40</v>
      </c>
      <c r="G311" s="117">
        <v>9730.65</v>
      </c>
      <c r="H311" s="116">
        <v>0</v>
      </c>
      <c r="I311" s="116" t="s">
        <v>322</v>
      </c>
      <c r="J311" s="117">
        <v>0</v>
      </c>
      <c r="K311" s="117">
        <v>0</v>
      </c>
      <c r="L311" s="117">
        <v>0</v>
      </c>
      <c r="M311" s="117">
        <v>0</v>
      </c>
      <c r="N311" s="117">
        <v>0</v>
      </c>
      <c r="O311" s="117">
        <v>3074.19</v>
      </c>
      <c r="P311" s="109">
        <v>1342.99</v>
      </c>
      <c r="Q311" s="109">
        <v>1249.82</v>
      </c>
      <c r="R311" s="109">
        <v>10212.030000000001</v>
      </c>
    </row>
    <row r="312" spans="1:18" x14ac:dyDescent="0.3">
      <c r="A312" s="116" t="s">
        <v>371</v>
      </c>
      <c r="B312" s="116" t="s">
        <v>322</v>
      </c>
      <c r="C312" s="116"/>
      <c r="D312" s="116" t="s">
        <v>399</v>
      </c>
      <c r="E312" s="116" t="s">
        <v>505</v>
      </c>
      <c r="F312" s="116">
        <v>40</v>
      </c>
      <c r="G312" s="117">
        <v>8830.94</v>
      </c>
      <c r="H312" s="116">
        <v>0</v>
      </c>
      <c r="I312" s="116" t="s">
        <v>322</v>
      </c>
      <c r="J312" s="117">
        <v>0</v>
      </c>
      <c r="K312" s="117">
        <v>0</v>
      </c>
      <c r="L312" s="117">
        <v>0</v>
      </c>
      <c r="M312" s="117">
        <v>0</v>
      </c>
      <c r="N312" s="117">
        <v>0</v>
      </c>
      <c r="O312" s="117">
        <v>2342.23</v>
      </c>
      <c r="P312" s="109">
        <v>1249.32</v>
      </c>
      <c r="Q312" s="109">
        <v>1069.93</v>
      </c>
      <c r="R312" s="109">
        <v>8853.92</v>
      </c>
    </row>
    <row r="313" spans="1:18" x14ac:dyDescent="0.3">
      <c r="A313" s="116" t="s">
        <v>371</v>
      </c>
      <c r="B313" s="116" t="s">
        <v>322</v>
      </c>
      <c r="C313" s="116" t="s">
        <v>406</v>
      </c>
      <c r="D313" s="116" t="s">
        <v>399</v>
      </c>
      <c r="E313" s="116" t="s">
        <v>424</v>
      </c>
      <c r="F313" s="116">
        <v>40</v>
      </c>
      <c r="G313" s="117">
        <v>11520.09</v>
      </c>
      <c r="H313" s="116">
        <v>0</v>
      </c>
      <c r="I313" s="116" t="s">
        <v>322</v>
      </c>
      <c r="J313" s="117">
        <v>0</v>
      </c>
      <c r="K313" s="117">
        <v>0</v>
      </c>
      <c r="L313" s="117">
        <v>0</v>
      </c>
      <c r="M313" s="117">
        <v>0</v>
      </c>
      <c r="N313" s="117">
        <v>0</v>
      </c>
      <c r="O313" s="117">
        <v>1756.67</v>
      </c>
      <c r="P313" s="109">
        <v>1878.52</v>
      </c>
      <c r="Q313" s="109">
        <v>1281.49</v>
      </c>
      <c r="R313" s="109">
        <v>10116.75</v>
      </c>
    </row>
    <row r="314" spans="1:18" x14ac:dyDescent="0.3">
      <c r="A314" s="116" t="s">
        <v>371</v>
      </c>
      <c r="B314" s="116" t="s">
        <v>322</v>
      </c>
      <c r="C314" s="116"/>
      <c r="D314" s="116" t="s">
        <v>399</v>
      </c>
      <c r="E314" s="116" t="s">
        <v>506</v>
      </c>
      <c r="F314" s="116">
        <v>40</v>
      </c>
      <c r="G314" s="117">
        <v>10752.94</v>
      </c>
      <c r="H314" s="116">
        <v>0</v>
      </c>
      <c r="I314" s="116" t="s">
        <v>322</v>
      </c>
      <c r="J314" s="117">
        <v>0</v>
      </c>
      <c r="K314" s="117">
        <v>0</v>
      </c>
      <c r="L314" s="117">
        <v>0</v>
      </c>
      <c r="M314" s="117">
        <v>0</v>
      </c>
      <c r="N314" s="117">
        <v>0</v>
      </c>
      <c r="O314" s="117">
        <v>1903.06</v>
      </c>
      <c r="P314" s="109">
        <v>1648.51</v>
      </c>
      <c r="Q314" s="109">
        <v>1350.74</v>
      </c>
      <c r="R314" s="109">
        <v>9656.75</v>
      </c>
    </row>
    <row r="315" spans="1:18" x14ac:dyDescent="0.3">
      <c r="A315" s="116" t="s">
        <v>371</v>
      </c>
      <c r="B315" s="116" t="s">
        <v>322</v>
      </c>
      <c r="C315" s="116"/>
      <c r="D315" s="116" t="s">
        <v>399</v>
      </c>
      <c r="E315" s="116" t="s">
        <v>507</v>
      </c>
      <c r="F315" s="116">
        <v>40</v>
      </c>
      <c r="G315" s="117">
        <v>7688.66</v>
      </c>
      <c r="H315" s="116">
        <v>0</v>
      </c>
      <c r="I315" s="116" t="s">
        <v>322</v>
      </c>
      <c r="J315" s="117">
        <v>0</v>
      </c>
      <c r="K315" s="117">
        <v>0</v>
      </c>
      <c r="L315" s="117">
        <v>0</v>
      </c>
      <c r="M315" s="117">
        <v>0</v>
      </c>
      <c r="N315" s="117">
        <v>0</v>
      </c>
      <c r="O315" s="117">
        <v>3220.57</v>
      </c>
      <c r="P315" s="109">
        <v>847.08</v>
      </c>
      <c r="Q315" s="109">
        <v>1011.15</v>
      </c>
      <c r="R315" s="109">
        <v>9051</v>
      </c>
    </row>
    <row r="316" spans="1:18" x14ac:dyDescent="0.3">
      <c r="A316" s="116" t="s">
        <v>371</v>
      </c>
      <c r="B316" s="116" t="s">
        <v>322</v>
      </c>
      <c r="C316" s="116" t="s">
        <v>350</v>
      </c>
      <c r="D316" s="116" t="s">
        <v>399</v>
      </c>
      <c r="E316" s="116" t="s">
        <v>508</v>
      </c>
      <c r="F316" s="116">
        <v>40</v>
      </c>
      <c r="G316" s="117">
        <v>17469.66</v>
      </c>
      <c r="H316" s="116">
        <v>0</v>
      </c>
      <c r="I316" s="116" t="s">
        <v>322</v>
      </c>
      <c r="J316" s="117">
        <v>0</v>
      </c>
      <c r="K316" s="117">
        <v>0</v>
      </c>
      <c r="L316" s="117">
        <v>0</v>
      </c>
      <c r="M316" s="117">
        <v>0</v>
      </c>
      <c r="N316" s="117">
        <v>0</v>
      </c>
      <c r="O316" s="117">
        <v>1903.06</v>
      </c>
      <c r="P316" s="109">
        <v>3516.87</v>
      </c>
      <c r="Q316" s="109">
        <v>1463.01</v>
      </c>
      <c r="R316" s="109">
        <v>14392.84</v>
      </c>
    </row>
    <row r="317" spans="1:18" x14ac:dyDescent="0.3">
      <c r="A317" s="116" t="s">
        <v>371</v>
      </c>
      <c r="B317" s="116" t="s">
        <v>322</v>
      </c>
      <c r="C317" s="116"/>
      <c r="D317" s="116" t="s">
        <v>399</v>
      </c>
      <c r="E317" s="116" t="s">
        <v>509</v>
      </c>
      <c r="F317" s="116">
        <v>40</v>
      </c>
      <c r="G317" s="117">
        <v>9344.2999999999993</v>
      </c>
      <c r="H317" s="116">
        <v>0</v>
      </c>
      <c r="I317" s="116" t="s">
        <v>322</v>
      </c>
      <c r="J317" s="117">
        <v>0</v>
      </c>
      <c r="K317" s="117">
        <v>0</v>
      </c>
      <c r="L317" s="117">
        <v>0</v>
      </c>
      <c r="M317" s="117">
        <v>0</v>
      </c>
      <c r="N317" s="117">
        <v>0</v>
      </c>
      <c r="O317" s="117">
        <v>4203.8500000000004</v>
      </c>
      <c r="P317" s="109">
        <v>1684.72</v>
      </c>
      <c r="Q317" s="109">
        <v>1276.05</v>
      </c>
      <c r="R317" s="109">
        <v>10587.38</v>
      </c>
    </row>
    <row r="318" spans="1:18" x14ac:dyDescent="0.3">
      <c r="A318" s="116" t="s">
        <v>371</v>
      </c>
      <c r="B318" s="116" t="s">
        <v>322</v>
      </c>
      <c r="C318" s="116"/>
      <c r="D318" s="116" t="s">
        <v>399</v>
      </c>
      <c r="E318" s="116" t="s">
        <v>510</v>
      </c>
      <c r="F318" s="116">
        <v>40</v>
      </c>
      <c r="G318" s="117">
        <v>13658.45</v>
      </c>
      <c r="H318" s="116">
        <v>0</v>
      </c>
      <c r="I318" s="116" t="s">
        <v>322</v>
      </c>
      <c r="J318" s="117">
        <v>0</v>
      </c>
      <c r="K318" s="117">
        <v>0</v>
      </c>
      <c r="L318" s="117">
        <v>0</v>
      </c>
      <c r="M318" s="117">
        <v>0</v>
      </c>
      <c r="N318" s="117">
        <v>0</v>
      </c>
      <c r="O318" s="117">
        <v>2927.8</v>
      </c>
      <c r="P318" s="109">
        <v>2330.38</v>
      </c>
      <c r="Q318" s="109">
        <v>1966.31</v>
      </c>
      <c r="R318" s="109">
        <v>12289.56</v>
      </c>
    </row>
    <row r="319" spans="1:18" x14ac:dyDescent="0.3">
      <c r="A319" s="116" t="s">
        <v>371</v>
      </c>
      <c r="B319" s="116" t="s">
        <v>322</v>
      </c>
      <c r="C319" s="116"/>
      <c r="D319" s="116" t="s">
        <v>399</v>
      </c>
      <c r="E319" s="116" t="s">
        <v>484</v>
      </c>
      <c r="F319" s="116">
        <v>40</v>
      </c>
      <c r="G319" s="117">
        <v>7686.48</v>
      </c>
      <c r="H319" s="116">
        <v>0</v>
      </c>
      <c r="I319" s="116" t="s">
        <v>322</v>
      </c>
      <c r="J319" s="117">
        <v>0</v>
      </c>
      <c r="K319" s="117">
        <v>0</v>
      </c>
      <c r="L319" s="117">
        <v>0</v>
      </c>
      <c r="M319" s="117">
        <v>0</v>
      </c>
      <c r="N319" s="117">
        <v>0</v>
      </c>
      <c r="O319" s="117">
        <v>3220.57</v>
      </c>
      <c r="P319" s="109">
        <v>950.85</v>
      </c>
      <c r="Q319" s="109">
        <v>1010.8</v>
      </c>
      <c r="R319" s="109">
        <v>8945.4</v>
      </c>
    </row>
    <row r="320" spans="1:18" x14ac:dyDescent="0.3">
      <c r="A320" s="116" t="s">
        <v>371</v>
      </c>
      <c r="B320" s="116" t="s">
        <v>322</v>
      </c>
      <c r="C320" s="116"/>
      <c r="D320" s="116" t="s">
        <v>399</v>
      </c>
      <c r="E320" s="116" t="s">
        <v>511</v>
      </c>
      <c r="F320" s="116">
        <v>40</v>
      </c>
      <c r="G320" s="117">
        <v>8978.75</v>
      </c>
      <c r="H320" s="116">
        <v>0</v>
      </c>
      <c r="I320" s="116" t="s">
        <v>322</v>
      </c>
      <c r="J320" s="117">
        <v>0</v>
      </c>
      <c r="K320" s="117">
        <v>0</v>
      </c>
      <c r="L320" s="117">
        <v>0</v>
      </c>
      <c r="M320" s="117">
        <v>0</v>
      </c>
      <c r="N320" s="117">
        <v>0</v>
      </c>
      <c r="O320" s="117">
        <v>3366.96</v>
      </c>
      <c r="P320" s="109">
        <v>1284.49</v>
      </c>
      <c r="Q320" s="109">
        <v>1089.8599999999999</v>
      </c>
      <c r="R320" s="109">
        <v>9971.36</v>
      </c>
    </row>
    <row r="321" spans="1:18" x14ac:dyDescent="0.3">
      <c r="A321" s="116" t="s">
        <v>371</v>
      </c>
      <c r="B321" s="116" t="s">
        <v>322</v>
      </c>
      <c r="C321" s="116"/>
      <c r="D321" s="116" t="s">
        <v>399</v>
      </c>
      <c r="E321" s="116" t="s">
        <v>325</v>
      </c>
      <c r="F321" s="116">
        <v>40</v>
      </c>
      <c r="G321" s="117">
        <v>10427.99</v>
      </c>
      <c r="H321" s="116">
        <v>0</v>
      </c>
      <c r="I321" s="116" t="s">
        <v>322</v>
      </c>
      <c r="J321" s="117">
        <v>0</v>
      </c>
      <c r="K321" s="117">
        <v>0</v>
      </c>
      <c r="L321" s="117">
        <v>0</v>
      </c>
      <c r="M321" s="117">
        <v>0</v>
      </c>
      <c r="N321" s="117">
        <v>0</v>
      </c>
      <c r="O321" s="117">
        <v>3074.19</v>
      </c>
      <c r="P321" s="109">
        <v>1584.14</v>
      </c>
      <c r="Q321" s="109">
        <v>1449.44</v>
      </c>
      <c r="R321" s="109">
        <v>10468.6</v>
      </c>
    </row>
    <row r="322" spans="1:18" x14ac:dyDescent="0.3">
      <c r="A322" s="116" t="s">
        <v>371</v>
      </c>
      <c r="B322" s="116" t="s">
        <v>322</v>
      </c>
      <c r="C322" s="116" t="s">
        <v>512</v>
      </c>
      <c r="D322" s="116" t="s">
        <v>399</v>
      </c>
      <c r="E322" s="116" t="s">
        <v>408</v>
      </c>
      <c r="F322" s="116">
        <v>40</v>
      </c>
      <c r="G322" s="117">
        <v>12407.23</v>
      </c>
      <c r="H322" s="116">
        <v>0</v>
      </c>
      <c r="I322" s="116" t="s">
        <v>322</v>
      </c>
      <c r="J322" s="117">
        <v>0</v>
      </c>
      <c r="K322" s="117">
        <v>0</v>
      </c>
      <c r="L322" s="117">
        <v>0</v>
      </c>
      <c r="M322" s="117">
        <v>0</v>
      </c>
      <c r="N322" s="117">
        <v>0</v>
      </c>
      <c r="O322" s="117">
        <v>3074.19</v>
      </c>
      <c r="P322" s="109">
        <v>2282.65</v>
      </c>
      <c r="Q322" s="109">
        <v>699.05</v>
      </c>
      <c r="R322" s="109">
        <v>12499.72</v>
      </c>
    </row>
    <row r="323" spans="1:18" x14ac:dyDescent="0.3">
      <c r="A323" s="116" t="s">
        <v>371</v>
      </c>
      <c r="B323" s="116" t="s">
        <v>322</v>
      </c>
      <c r="C323" s="116"/>
      <c r="D323" s="116" t="s">
        <v>399</v>
      </c>
      <c r="E323" s="116" t="s">
        <v>513</v>
      </c>
      <c r="F323" s="116">
        <v>40</v>
      </c>
      <c r="G323" s="117">
        <v>8824.5400000000009</v>
      </c>
      <c r="H323" s="116">
        <v>0</v>
      </c>
      <c r="I323" s="116" t="s">
        <v>322</v>
      </c>
      <c r="J323" s="117">
        <v>0</v>
      </c>
      <c r="K323" s="117">
        <v>0</v>
      </c>
      <c r="L323" s="117">
        <v>0</v>
      </c>
      <c r="M323" s="117">
        <v>0</v>
      </c>
      <c r="N323" s="117">
        <v>0</v>
      </c>
      <c r="O323" s="117">
        <v>2488.62</v>
      </c>
      <c r="P323" s="109">
        <v>1195.7</v>
      </c>
      <c r="Q323" s="109">
        <v>1068.9000000000001</v>
      </c>
      <c r="R323" s="109">
        <v>9048.56</v>
      </c>
    </row>
    <row r="324" spans="1:18" x14ac:dyDescent="0.3">
      <c r="A324" s="116" t="s">
        <v>371</v>
      </c>
      <c r="B324" s="116" t="s">
        <v>322</v>
      </c>
      <c r="C324" s="116"/>
      <c r="D324" s="116" t="s">
        <v>399</v>
      </c>
      <c r="E324" s="116" t="s">
        <v>495</v>
      </c>
      <c r="F324" s="116">
        <v>40</v>
      </c>
      <c r="G324" s="117">
        <v>4717.25</v>
      </c>
      <c r="H324" s="116">
        <v>0</v>
      </c>
      <c r="I324" s="116" t="s">
        <v>322</v>
      </c>
      <c r="J324" s="117">
        <v>0</v>
      </c>
      <c r="K324" s="117">
        <v>0</v>
      </c>
      <c r="L324" s="117">
        <v>0</v>
      </c>
      <c r="M324" s="117">
        <v>0</v>
      </c>
      <c r="N324" s="117">
        <v>0</v>
      </c>
      <c r="O324" s="117">
        <v>3118.47</v>
      </c>
      <c r="P324" s="109">
        <v>290.85000000000002</v>
      </c>
      <c r="Q324" s="109">
        <v>486.35</v>
      </c>
      <c r="R324" s="109">
        <v>7058.52</v>
      </c>
    </row>
    <row r="325" spans="1:18" x14ac:dyDescent="0.3">
      <c r="A325" s="116" t="s">
        <v>371</v>
      </c>
      <c r="B325" s="116" t="s">
        <v>322</v>
      </c>
      <c r="C325" s="116" t="s">
        <v>350</v>
      </c>
      <c r="D325" s="116" t="s">
        <v>399</v>
      </c>
      <c r="E325" s="116" t="s">
        <v>419</v>
      </c>
      <c r="F325" s="116">
        <v>40</v>
      </c>
      <c r="G325" s="117">
        <v>13035.63</v>
      </c>
      <c r="H325" s="116">
        <v>0</v>
      </c>
      <c r="I325" s="116" t="s">
        <v>322</v>
      </c>
      <c r="J325" s="117">
        <v>0</v>
      </c>
      <c r="K325" s="117">
        <v>0</v>
      </c>
      <c r="L325" s="117">
        <v>0</v>
      </c>
      <c r="M325" s="117">
        <v>0</v>
      </c>
      <c r="N325" s="117">
        <v>0</v>
      </c>
      <c r="O325" s="117">
        <v>1317.5</v>
      </c>
      <c r="P325" s="109">
        <v>2258.27</v>
      </c>
      <c r="Q325" s="109">
        <v>1416.1</v>
      </c>
      <c r="R325" s="109">
        <v>10678.76</v>
      </c>
    </row>
    <row r="326" spans="1:18" x14ac:dyDescent="0.3">
      <c r="A326" s="116" t="s">
        <v>371</v>
      </c>
      <c r="B326" s="116" t="s">
        <v>322</v>
      </c>
      <c r="C326" s="116" t="s">
        <v>451</v>
      </c>
      <c r="D326" s="116" t="s">
        <v>399</v>
      </c>
      <c r="E326" s="116" t="s">
        <v>385</v>
      </c>
      <c r="F326" s="116">
        <v>40</v>
      </c>
      <c r="G326" s="117">
        <v>14107.74</v>
      </c>
      <c r="H326" s="116">
        <v>0</v>
      </c>
      <c r="I326" s="116" t="s">
        <v>322</v>
      </c>
      <c r="J326" s="117">
        <v>0</v>
      </c>
      <c r="K326" s="117">
        <v>0</v>
      </c>
      <c r="L326" s="117">
        <v>0</v>
      </c>
      <c r="M326" s="117">
        <v>0</v>
      </c>
      <c r="N326" s="117">
        <v>0</v>
      </c>
      <c r="O326" s="117">
        <v>1610.29</v>
      </c>
      <c r="P326" s="109">
        <v>2458.38</v>
      </c>
      <c r="Q326" s="109">
        <v>1950.15</v>
      </c>
      <c r="R326" s="109">
        <v>11309.5</v>
      </c>
    </row>
    <row r="327" spans="1:18" x14ac:dyDescent="0.3">
      <c r="A327" s="116" t="s">
        <v>371</v>
      </c>
      <c r="B327" s="116" t="s">
        <v>322</v>
      </c>
      <c r="C327" s="116"/>
      <c r="D327" s="116" t="s">
        <v>399</v>
      </c>
      <c r="E327" s="116" t="s">
        <v>423</v>
      </c>
      <c r="F327" s="116">
        <v>40</v>
      </c>
      <c r="G327" s="117">
        <v>4717.25</v>
      </c>
      <c r="H327" s="116">
        <v>0</v>
      </c>
      <c r="I327" s="116" t="s">
        <v>322</v>
      </c>
      <c r="J327" s="117">
        <v>0</v>
      </c>
      <c r="K327" s="117">
        <v>0</v>
      </c>
      <c r="L327" s="117">
        <v>0</v>
      </c>
      <c r="M327" s="117">
        <v>0</v>
      </c>
      <c r="N327" s="117">
        <v>0</v>
      </c>
      <c r="O327" s="117">
        <v>1648.09</v>
      </c>
      <c r="P327" s="109">
        <v>290.85000000000002</v>
      </c>
      <c r="Q327" s="109">
        <v>486.35</v>
      </c>
      <c r="R327" s="109">
        <v>5588.14</v>
      </c>
    </row>
    <row r="328" spans="1:18" x14ac:dyDescent="0.3">
      <c r="A328" s="116" t="s">
        <v>371</v>
      </c>
      <c r="B328" s="116" t="s">
        <v>322</v>
      </c>
      <c r="C328" s="116"/>
      <c r="D328" s="116" t="s">
        <v>399</v>
      </c>
      <c r="E328" s="116" t="s">
        <v>434</v>
      </c>
      <c r="F328" s="116">
        <v>40</v>
      </c>
      <c r="G328" s="117">
        <v>11749.23</v>
      </c>
      <c r="H328" s="116">
        <v>0</v>
      </c>
      <c r="I328" s="116" t="s">
        <v>322</v>
      </c>
      <c r="J328" s="117">
        <v>0</v>
      </c>
      <c r="K328" s="117">
        <v>0</v>
      </c>
      <c r="L328" s="117">
        <v>0</v>
      </c>
      <c r="M328" s="117">
        <v>0</v>
      </c>
      <c r="N328" s="117">
        <v>0</v>
      </c>
      <c r="O328" s="117">
        <v>4877.1099999999997</v>
      </c>
      <c r="P328" s="109">
        <v>2346.08</v>
      </c>
      <c r="Q328" s="109">
        <v>1510.15</v>
      </c>
      <c r="R328" s="109">
        <v>12770.11</v>
      </c>
    </row>
    <row r="329" spans="1:18" x14ac:dyDescent="0.3">
      <c r="A329" s="116" t="s">
        <v>371</v>
      </c>
      <c r="B329" s="116" t="s">
        <v>322</v>
      </c>
      <c r="C329" s="116"/>
      <c r="D329" s="116" t="s">
        <v>399</v>
      </c>
      <c r="E329" s="116" t="s">
        <v>435</v>
      </c>
      <c r="F329" s="116">
        <v>40</v>
      </c>
      <c r="G329" s="117">
        <v>7691.4</v>
      </c>
      <c r="H329" s="116">
        <v>0</v>
      </c>
      <c r="I329" s="116" t="s">
        <v>322</v>
      </c>
      <c r="J329" s="117">
        <v>0</v>
      </c>
      <c r="K329" s="117">
        <v>0</v>
      </c>
      <c r="L329" s="117">
        <v>0</v>
      </c>
      <c r="M329" s="117">
        <v>0</v>
      </c>
      <c r="N329" s="117">
        <v>0</v>
      </c>
      <c r="O329" s="117">
        <v>3366.96</v>
      </c>
      <c r="P329" s="109">
        <v>951.99</v>
      </c>
      <c r="Q329" s="109">
        <v>1011.58</v>
      </c>
      <c r="R329" s="109">
        <v>9094.7900000000009</v>
      </c>
    </row>
    <row r="330" spans="1:18" x14ac:dyDescent="0.3">
      <c r="A330" s="116" t="s">
        <v>371</v>
      </c>
      <c r="B330" s="116" t="s">
        <v>322</v>
      </c>
      <c r="C330" s="116" t="s">
        <v>382</v>
      </c>
      <c r="D330" s="116" t="s">
        <v>399</v>
      </c>
      <c r="E330" s="116" t="s">
        <v>456</v>
      </c>
      <c r="F330" s="116">
        <v>40</v>
      </c>
      <c r="G330" s="117">
        <v>8396.16</v>
      </c>
      <c r="H330" s="116">
        <v>0</v>
      </c>
      <c r="I330" s="116" t="s">
        <v>322</v>
      </c>
      <c r="J330" s="117">
        <v>0</v>
      </c>
      <c r="K330" s="117">
        <v>0</v>
      </c>
      <c r="L330" s="117">
        <v>0</v>
      </c>
      <c r="M330" s="117">
        <v>0</v>
      </c>
      <c r="N330" s="117">
        <v>0</v>
      </c>
      <c r="O330" s="117">
        <v>3074.19</v>
      </c>
      <c r="P330" s="109">
        <v>1145.5899999999999</v>
      </c>
      <c r="Q330" s="109">
        <v>1012.35</v>
      </c>
      <c r="R330" s="109">
        <v>9312.41</v>
      </c>
    </row>
    <row r="331" spans="1:18" x14ac:dyDescent="0.3">
      <c r="A331" s="116" t="s">
        <v>371</v>
      </c>
      <c r="B331" s="116" t="s">
        <v>322</v>
      </c>
      <c r="C331" s="116"/>
      <c r="D331" s="116" t="s">
        <v>399</v>
      </c>
      <c r="E331" s="116" t="s">
        <v>514</v>
      </c>
      <c r="F331" s="116">
        <v>40</v>
      </c>
      <c r="G331" s="117">
        <v>8394.34</v>
      </c>
      <c r="H331" s="116">
        <v>0</v>
      </c>
      <c r="I331" s="116" t="s">
        <v>322</v>
      </c>
      <c r="J331" s="117">
        <v>0</v>
      </c>
      <c r="K331" s="117">
        <v>0</v>
      </c>
      <c r="L331" s="117">
        <v>0</v>
      </c>
      <c r="M331" s="117">
        <v>0</v>
      </c>
      <c r="N331" s="117">
        <v>0</v>
      </c>
      <c r="O331" s="117">
        <v>2049.4499999999998</v>
      </c>
      <c r="P331" s="109">
        <v>1062.23</v>
      </c>
      <c r="Q331" s="109">
        <v>1124.05</v>
      </c>
      <c r="R331" s="109">
        <v>8257.51</v>
      </c>
    </row>
    <row r="332" spans="1:18" x14ac:dyDescent="0.3">
      <c r="A332" s="116" t="s">
        <v>371</v>
      </c>
      <c r="B332" s="116" t="s">
        <v>322</v>
      </c>
      <c r="C332" s="116"/>
      <c r="D332" s="116" t="s">
        <v>399</v>
      </c>
      <c r="E332" s="116" t="s">
        <v>387</v>
      </c>
      <c r="F332" s="116">
        <v>40</v>
      </c>
      <c r="G332" s="117">
        <v>17929.82</v>
      </c>
      <c r="H332" s="116">
        <v>0</v>
      </c>
      <c r="I332" s="116" t="s">
        <v>322</v>
      </c>
      <c r="J332" s="117">
        <v>0</v>
      </c>
      <c r="K332" s="117">
        <v>0</v>
      </c>
      <c r="L332" s="117">
        <v>0</v>
      </c>
      <c r="M332" s="117">
        <v>0</v>
      </c>
      <c r="N332" s="117">
        <v>0</v>
      </c>
      <c r="O332" s="117">
        <v>3074.19</v>
      </c>
      <c r="P332" s="109">
        <v>3317.06</v>
      </c>
      <c r="Q332" s="109">
        <v>2649.73</v>
      </c>
      <c r="R332" s="109">
        <v>15037.22</v>
      </c>
    </row>
    <row r="333" spans="1:18" x14ac:dyDescent="0.3">
      <c r="A333" s="116" t="s">
        <v>371</v>
      </c>
      <c r="B333" s="116" t="s">
        <v>322</v>
      </c>
      <c r="C333" s="116"/>
      <c r="D333" s="116" t="s">
        <v>399</v>
      </c>
      <c r="E333" s="116" t="s">
        <v>432</v>
      </c>
      <c r="F333" s="116">
        <v>40</v>
      </c>
      <c r="G333" s="117">
        <v>10615.37</v>
      </c>
      <c r="H333" s="116">
        <v>0</v>
      </c>
      <c r="I333" s="116" t="s">
        <v>322</v>
      </c>
      <c r="J333" s="117">
        <v>0</v>
      </c>
      <c r="K333" s="117">
        <v>0</v>
      </c>
      <c r="L333" s="117">
        <v>0</v>
      </c>
      <c r="M333" s="117">
        <v>0</v>
      </c>
      <c r="N333" s="117">
        <v>0</v>
      </c>
      <c r="O333" s="117">
        <v>2927.8</v>
      </c>
      <c r="P333" s="109">
        <v>1810.85</v>
      </c>
      <c r="Q333" s="109">
        <v>812.43</v>
      </c>
      <c r="R333" s="109">
        <v>10919.89</v>
      </c>
    </row>
    <row r="334" spans="1:18" x14ac:dyDescent="0.3">
      <c r="A334" s="116" t="s">
        <v>371</v>
      </c>
      <c r="B334" s="116" t="s">
        <v>322</v>
      </c>
      <c r="C334" s="116"/>
      <c r="D334" s="116" t="s">
        <v>399</v>
      </c>
      <c r="E334" s="116" t="s">
        <v>418</v>
      </c>
      <c r="F334" s="116">
        <v>40</v>
      </c>
      <c r="G334" s="117">
        <v>9377.02</v>
      </c>
      <c r="H334" s="116">
        <v>0</v>
      </c>
      <c r="I334" s="116" t="s">
        <v>322</v>
      </c>
      <c r="J334" s="117">
        <v>0</v>
      </c>
      <c r="K334" s="117">
        <v>0</v>
      </c>
      <c r="L334" s="117">
        <v>0</v>
      </c>
      <c r="M334" s="117">
        <v>0</v>
      </c>
      <c r="N334" s="117">
        <v>0</v>
      </c>
      <c r="O334" s="117">
        <v>2195.84</v>
      </c>
      <c r="P334" s="109">
        <v>1289.23</v>
      </c>
      <c r="Q334" s="109">
        <v>1281.28</v>
      </c>
      <c r="R334" s="109">
        <v>9002.35</v>
      </c>
    </row>
    <row r="335" spans="1:18" x14ac:dyDescent="0.3">
      <c r="A335" s="116" t="s">
        <v>371</v>
      </c>
      <c r="B335" s="116" t="s">
        <v>322</v>
      </c>
      <c r="C335" s="116"/>
      <c r="D335" s="116" t="s">
        <v>399</v>
      </c>
      <c r="E335" s="116" t="s">
        <v>432</v>
      </c>
      <c r="F335" s="116">
        <v>40</v>
      </c>
      <c r="G335" s="117">
        <v>19096.86</v>
      </c>
      <c r="H335" s="116">
        <v>0</v>
      </c>
      <c r="I335" s="116" t="s">
        <v>322</v>
      </c>
      <c r="J335" s="117">
        <v>0</v>
      </c>
      <c r="K335" s="117">
        <v>0</v>
      </c>
      <c r="L335" s="117">
        <v>0</v>
      </c>
      <c r="M335" s="117">
        <v>0</v>
      </c>
      <c r="N335" s="117">
        <v>0</v>
      </c>
      <c r="O335" s="117">
        <v>5910.65</v>
      </c>
      <c r="P335" s="109">
        <v>4366.68</v>
      </c>
      <c r="Q335" s="109">
        <v>2836.46</v>
      </c>
      <c r="R335" s="109">
        <v>17804.37</v>
      </c>
    </row>
    <row r="336" spans="1:18" x14ac:dyDescent="0.3">
      <c r="A336" s="116" t="s">
        <v>371</v>
      </c>
      <c r="B336" s="116" t="s">
        <v>322</v>
      </c>
      <c r="C336" s="116"/>
      <c r="D336" s="116" t="s">
        <v>399</v>
      </c>
      <c r="E336" s="116" t="s">
        <v>435</v>
      </c>
      <c r="F336" s="116">
        <v>40</v>
      </c>
      <c r="G336" s="117">
        <v>6454.7</v>
      </c>
      <c r="H336" s="116">
        <v>0</v>
      </c>
      <c r="I336" s="116" t="s">
        <v>322</v>
      </c>
      <c r="J336" s="117">
        <v>0</v>
      </c>
      <c r="K336" s="117">
        <v>0</v>
      </c>
      <c r="L336" s="117">
        <v>0</v>
      </c>
      <c r="M336" s="117">
        <v>0</v>
      </c>
      <c r="N336" s="117">
        <v>0</v>
      </c>
      <c r="O336" s="117">
        <v>3371.04</v>
      </c>
      <c r="P336" s="109">
        <v>664.43</v>
      </c>
      <c r="Q336" s="109">
        <v>820.55</v>
      </c>
      <c r="R336" s="109">
        <v>8340.76</v>
      </c>
    </row>
    <row r="337" spans="1:18" x14ac:dyDescent="0.3">
      <c r="A337" s="116" t="s">
        <v>371</v>
      </c>
      <c r="B337" s="116" t="s">
        <v>322</v>
      </c>
      <c r="C337" s="116"/>
      <c r="D337" s="116" t="s">
        <v>399</v>
      </c>
      <c r="E337" s="116" t="s">
        <v>515</v>
      </c>
      <c r="F337" s="116">
        <v>40</v>
      </c>
      <c r="G337" s="117">
        <v>11278.33</v>
      </c>
      <c r="H337" s="116">
        <v>0</v>
      </c>
      <c r="I337" s="116" t="s">
        <v>322</v>
      </c>
      <c r="J337" s="117">
        <v>0</v>
      </c>
      <c r="K337" s="117">
        <v>0</v>
      </c>
      <c r="L337" s="117">
        <v>0</v>
      </c>
      <c r="M337" s="117">
        <v>0</v>
      </c>
      <c r="N337" s="117">
        <v>0</v>
      </c>
      <c r="O337" s="117">
        <v>3366.96</v>
      </c>
      <c r="P337" s="109">
        <v>1780.57</v>
      </c>
      <c r="Q337" s="109">
        <v>1585.49</v>
      </c>
      <c r="R337" s="109">
        <v>11279.23</v>
      </c>
    </row>
    <row r="338" spans="1:18" x14ac:dyDescent="0.3">
      <c r="A338" s="116" t="s">
        <v>371</v>
      </c>
      <c r="B338" s="116" t="s">
        <v>322</v>
      </c>
      <c r="C338" s="116"/>
      <c r="D338" s="116" t="s">
        <v>399</v>
      </c>
      <c r="E338" s="116" t="s">
        <v>466</v>
      </c>
      <c r="F338" s="116">
        <v>40</v>
      </c>
      <c r="G338" s="117">
        <v>10737.26</v>
      </c>
      <c r="H338" s="116">
        <v>0</v>
      </c>
      <c r="I338" s="116" t="s">
        <v>322</v>
      </c>
      <c r="J338" s="117">
        <v>0</v>
      </c>
      <c r="K338" s="117">
        <v>0</v>
      </c>
      <c r="L338" s="117">
        <v>0</v>
      </c>
      <c r="M338" s="117">
        <v>0</v>
      </c>
      <c r="N338" s="117">
        <v>0</v>
      </c>
      <c r="O338" s="117">
        <v>1756.67</v>
      </c>
      <c r="P338" s="109">
        <v>1644.89</v>
      </c>
      <c r="Q338" s="109">
        <v>1348.23</v>
      </c>
      <c r="R338" s="109">
        <v>9500.81</v>
      </c>
    </row>
    <row r="339" spans="1:18" x14ac:dyDescent="0.3">
      <c r="A339" s="116" t="s">
        <v>371</v>
      </c>
      <c r="B339" s="116" t="s">
        <v>322</v>
      </c>
      <c r="C339" s="116"/>
      <c r="D339" s="116" t="s">
        <v>399</v>
      </c>
      <c r="E339" s="116" t="s">
        <v>432</v>
      </c>
      <c r="F339" s="116">
        <v>40</v>
      </c>
      <c r="G339" s="117">
        <v>13003.27</v>
      </c>
      <c r="H339" s="116">
        <v>0</v>
      </c>
      <c r="I339" s="116" t="s">
        <v>322</v>
      </c>
      <c r="J339" s="117">
        <v>0</v>
      </c>
      <c r="K339" s="117">
        <v>0</v>
      </c>
      <c r="L339" s="117">
        <v>0</v>
      </c>
      <c r="M339" s="117">
        <v>0</v>
      </c>
      <c r="N339" s="117">
        <v>0</v>
      </c>
      <c r="O339" s="117">
        <v>0</v>
      </c>
      <c r="P339" s="109">
        <v>2343.88</v>
      </c>
      <c r="Q339" s="109">
        <v>1262.04</v>
      </c>
      <c r="R339" s="109">
        <v>9397.35</v>
      </c>
    </row>
    <row r="340" spans="1:18" x14ac:dyDescent="0.3">
      <c r="A340" s="116" t="s">
        <v>371</v>
      </c>
      <c r="B340" s="116" t="s">
        <v>322</v>
      </c>
      <c r="C340" s="116"/>
      <c r="D340" s="116" t="s">
        <v>399</v>
      </c>
      <c r="E340" s="116" t="s">
        <v>409</v>
      </c>
      <c r="F340" s="116">
        <v>40</v>
      </c>
      <c r="G340" s="117">
        <v>13534</v>
      </c>
      <c r="H340" s="116">
        <v>0</v>
      </c>
      <c r="I340" s="116" t="s">
        <v>322</v>
      </c>
      <c r="J340" s="117">
        <v>0</v>
      </c>
      <c r="K340" s="117">
        <v>0</v>
      </c>
      <c r="L340" s="117">
        <v>0</v>
      </c>
      <c r="M340" s="117">
        <v>0</v>
      </c>
      <c r="N340" s="117">
        <v>0</v>
      </c>
      <c r="O340" s="117">
        <v>1756.67</v>
      </c>
      <c r="P340" s="109">
        <v>2514.66</v>
      </c>
      <c r="Q340" s="109">
        <v>1434.15</v>
      </c>
      <c r="R340" s="109">
        <v>11341.86</v>
      </c>
    </row>
    <row r="341" spans="1:18" x14ac:dyDescent="0.3">
      <c r="A341" s="116" t="s">
        <v>371</v>
      </c>
      <c r="B341" s="116" t="s">
        <v>390</v>
      </c>
      <c r="C341" s="116"/>
      <c r="D341" s="116" t="s">
        <v>399</v>
      </c>
      <c r="E341" s="116" t="s">
        <v>516</v>
      </c>
      <c r="F341" s="116">
        <v>40</v>
      </c>
      <c r="G341" s="117">
        <v>19042.240000000002</v>
      </c>
      <c r="H341" s="116">
        <v>0</v>
      </c>
      <c r="I341" s="116" t="s">
        <v>322</v>
      </c>
      <c r="J341" s="117">
        <v>0</v>
      </c>
      <c r="K341" s="117">
        <v>0</v>
      </c>
      <c r="L341" s="117">
        <v>0</v>
      </c>
      <c r="M341" s="117">
        <v>0</v>
      </c>
      <c r="N341" s="117">
        <v>0</v>
      </c>
      <c r="O341" s="117">
        <v>3220.58</v>
      </c>
      <c r="P341" s="109">
        <v>3574.03</v>
      </c>
      <c r="Q341" s="109">
        <v>2827.72</v>
      </c>
      <c r="R341" s="109">
        <v>15861.07</v>
      </c>
    </row>
    <row r="342" spans="1:18" x14ac:dyDescent="0.3">
      <c r="A342" s="116" t="s">
        <v>371</v>
      </c>
      <c r="B342" s="116" t="s">
        <v>322</v>
      </c>
      <c r="C342" s="116" t="s">
        <v>406</v>
      </c>
      <c r="D342" s="116" t="s">
        <v>399</v>
      </c>
      <c r="E342" s="116" t="s">
        <v>441</v>
      </c>
      <c r="F342" s="116">
        <v>40</v>
      </c>
      <c r="G342" s="117">
        <v>13420.13</v>
      </c>
      <c r="H342" s="116">
        <v>0</v>
      </c>
      <c r="I342" s="116" t="s">
        <v>322</v>
      </c>
      <c r="J342" s="117">
        <v>0</v>
      </c>
      <c r="K342" s="117">
        <v>0</v>
      </c>
      <c r="L342" s="117">
        <v>0</v>
      </c>
      <c r="M342" s="117">
        <v>0</v>
      </c>
      <c r="N342" s="117">
        <v>0</v>
      </c>
      <c r="O342" s="117">
        <v>3074.18</v>
      </c>
      <c r="P342" s="109">
        <v>2554.41</v>
      </c>
      <c r="Q342" s="109">
        <v>913.35</v>
      </c>
      <c r="R342" s="109">
        <v>13026.55</v>
      </c>
    </row>
    <row r="343" spans="1:18" x14ac:dyDescent="0.3">
      <c r="A343" s="116" t="s">
        <v>371</v>
      </c>
      <c r="B343" s="116" t="s">
        <v>322</v>
      </c>
      <c r="C343" s="116"/>
      <c r="D343" s="116" t="s">
        <v>399</v>
      </c>
      <c r="E343" s="116" t="s">
        <v>492</v>
      </c>
      <c r="F343" s="116">
        <v>40</v>
      </c>
      <c r="G343" s="117">
        <v>7670.47</v>
      </c>
      <c r="H343" s="116">
        <v>0</v>
      </c>
      <c r="I343" s="116" t="s">
        <v>322</v>
      </c>
      <c r="J343" s="117">
        <v>0</v>
      </c>
      <c r="K343" s="117">
        <v>0</v>
      </c>
      <c r="L343" s="117">
        <v>0</v>
      </c>
      <c r="M343" s="117">
        <v>0</v>
      </c>
      <c r="N343" s="117">
        <v>0</v>
      </c>
      <c r="O343" s="117">
        <v>3366.96</v>
      </c>
      <c r="P343" s="109">
        <v>930.12</v>
      </c>
      <c r="Q343" s="109">
        <v>1008.24</v>
      </c>
      <c r="R343" s="109">
        <v>9099.07</v>
      </c>
    </row>
    <row r="344" spans="1:18" x14ac:dyDescent="0.3">
      <c r="A344" s="116" t="s">
        <v>371</v>
      </c>
      <c r="B344" s="116" t="s">
        <v>322</v>
      </c>
      <c r="C344" s="116"/>
      <c r="D344" s="116" t="s">
        <v>399</v>
      </c>
      <c r="E344" s="116" t="s">
        <v>425</v>
      </c>
      <c r="F344" s="116">
        <v>40</v>
      </c>
      <c r="G344" s="117">
        <v>8457.57</v>
      </c>
      <c r="H344" s="116">
        <v>0</v>
      </c>
      <c r="I344" s="116" t="s">
        <v>322</v>
      </c>
      <c r="J344" s="117">
        <v>0</v>
      </c>
      <c r="K344" s="117">
        <v>0</v>
      </c>
      <c r="L344" s="117">
        <v>0</v>
      </c>
      <c r="M344" s="117">
        <v>0</v>
      </c>
      <c r="N344" s="117">
        <v>0</v>
      </c>
      <c r="O344" s="117">
        <v>1903.06</v>
      </c>
      <c r="P344" s="109">
        <v>1163.07</v>
      </c>
      <c r="Q344" s="109">
        <v>1010.19</v>
      </c>
      <c r="R344" s="109">
        <v>8187.37</v>
      </c>
    </row>
    <row r="345" spans="1:18" x14ac:dyDescent="0.3">
      <c r="A345" s="116" t="s">
        <v>371</v>
      </c>
      <c r="B345" s="116" t="s">
        <v>322</v>
      </c>
      <c r="C345" s="116"/>
      <c r="D345" s="116" t="s">
        <v>399</v>
      </c>
      <c r="E345" s="116" t="s">
        <v>505</v>
      </c>
      <c r="F345" s="116">
        <v>40</v>
      </c>
      <c r="G345" s="117">
        <v>12678.88</v>
      </c>
      <c r="H345" s="116">
        <v>0</v>
      </c>
      <c r="I345" s="116" t="s">
        <v>322</v>
      </c>
      <c r="J345" s="117">
        <v>0</v>
      </c>
      <c r="K345" s="117">
        <v>0</v>
      </c>
      <c r="L345" s="117">
        <v>0</v>
      </c>
      <c r="M345" s="117">
        <v>0</v>
      </c>
      <c r="N345" s="117">
        <v>0</v>
      </c>
      <c r="O345" s="117">
        <v>3220.57</v>
      </c>
      <c r="P345" s="109">
        <v>2104.1</v>
      </c>
      <c r="Q345" s="109">
        <v>1809.58</v>
      </c>
      <c r="R345" s="109">
        <v>11985.77</v>
      </c>
    </row>
    <row r="346" spans="1:18" x14ac:dyDescent="0.3">
      <c r="A346" s="116" t="s">
        <v>371</v>
      </c>
      <c r="B346" s="116" t="s">
        <v>322</v>
      </c>
      <c r="C346" s="116"/>
      <c r="D346" s="116" t="s">
        <v>399</v>
      </c>
      <c r="E346" s="116" t="s">
        <v>452</v>
      </c>
      <c r="F346" s="116">
        <v>40</v>
      </c>
      <c r="G346" s="117">
        <v>12004.57</v>
      </c>
      <c r="H346" s="116">
        <v>0</v>
      </c>
      <c r="I346" s="116" t="s">
        <v>322</v>
      </c>
      <c r="J346" s="117">
        <v>0</v>
      </c>
      <c r="K346" s="117">
        <v>0</v>
      </c>
      <c r="L346" s="117">
        <v>0</v>
      </c>
      <c r="M346" s="117">
        <v>0</v>
      </c>
      <c r="N346" s="117">
        <v>0</v>
      </c>
      <c r="O346" s="117">
        <v>3074.19</v>
      </c>
      <c r="P346" s="109">
        <v>2113.1799999999998</v>
      </c>
      <c r="Q346" s="109">
        <v>1102.25</v>
      </c>
      <c r="R346" s="109">
        <v>11863.33</v>
      </c>
    </row>
    <row r="347" spans="1:18" x14ac:dyDescent="0.3">
      <c r="A347" s="116" t="s">
        <v>371</v>
      </c>
      <c r="B347" s="116" t="s">
        <v>322</v>
      </c>
      <c r="C347" s="116" t="s">
        <v>464</v>
      </c>
      <c r="D347" s="116" t="s">
        <v>399</v>
      </c>
      <c r="E347" s="116" t="s">
        <v>325</v>
      </c>
      <c r="F347" s="116">
        <v>40</v>
      </c>
      <c r="G347" s="117">
        <v>8179.08</v>
      </c>
      <c r="H347" s="116">
        <v>0</v>
      </c>
      <c r="I347" s="116" t="s">
        <v>322</v>
      </c>
      <c r="J347" s="117">
        <v>0</v>
      </c>
      <c r="K347" s="117">
        <v>0</v>
      </c>
      <c r="L347" s="117">
        <v>0</v>
      </c>
      <c r="M347" s="117">
        <v>0</v>
      </c>
      <c r="N347" s="117">
        <v>0</v>
      </c>
      <c r="O347" s="117">
        <v>3074.19</v>
      </c>
      <c r="P347" s="109">
        <v>1085.95</v>
      </c>
      <c r="Q347" s="109">
        <v>1012.13</v>
      </c>
      <c r="R347" s="109">
        <v>9155.19</v>
      </c>
    </row>
    <row r="348" spans="1:18" x14ac:dyDescent="0.3">
      <c r="A348" s="116" t="s">
        <v>371</v>
      </c>
      <c r="B348" s="116" t="s">
        <v>322</v>
      </c>
      <c r="C348" s="116"/>
      <c r="D348" s="116" t="s">
        <v>399</v>
      </c>
      <c r="E348" s="116" t="s">
        <v>517</v>
      </c>
      <c r="F348" s="116">
        <v>40</v>
      </c>
      <c r="G348" s="117">
        <v>10965.46</v>
      </c>
      <c r="H348" s="116">
        <v>0</v>
      </c>
      <c r="I348" s="116" t="s">
        <v>322</v>
      </c>
      <c r="J348" s="117">
        <v>0</v>
      </c>
      <c r="K348" s="117">
        <v>0</v>
      </c>
      <c r="L348" s="117">
        <v>0</v>
      </c>
      <c r="M348" s="117">
        <v>0</v>
      </c>
      <c r="N348" s="117">
        <v>0</v>
      </c>
      <c r="O348" s="117">
        <v>3220.57</v>
      </c>
      <c r="P348" s="109">
        <v>1744.31</v>
      </c>
      <c r="Q348" s="109">
        <v>1380.22</v>
      </c>
      <c r="R348" s="109">
        <v>11061.5</v>
      </c>
    </row>
    <row r="349" spans="1:18" x14ac:dyDescent="0.3">
      <c r="A349" s="116" t="s">
        <v>371</v>
      </c>
      <c r="B349" s="116" t="s">
        <v>322</v>
      </c>
      <c r="C349" s="116"/>
      <c r="D349" s="116" t="s">
        <v>399</v>
      </c>
      <c r="E349" s="116" t="s">
        <v>446</v>
      </c>
      <c r="F349" s="116">
        <v>40</v>
      </c>
      <c r="G349" s="117">
        <v>10749.83</v>
      </c>
      <c r="H349" s="116">
        <v>0</v>
      </c>
      <c r="I349" s="116" t="s">
        <v>322</v>
      </c>
      <c r="J349" s="117">
        <v>0</v>
      </c>
      <c r="K349" s="117">
        <v>0</v>
      </c>
      <c r="L349" s="117">
        <v>0</v>
      </c>
      <c r="M349" s="117">
        <v>0</v>
      </c>
      <c r="N349" s="117">
        <v>0</v>
      </c>
      <c r="O349" s="117">
        <v>3366.96</v>
      </c>
      <c r="P349" s="109">
        <v>1699.93</v>
      </c>
      <c r="Q349" s="109">
        <v>1350.24</v>
      </c>
      <c r="R349" s="109">
        <v>11066.62</v>
      </c>
    </row>
    <row r="350" spans="1:18" x14ac:dyDescent="0.3">
      <c r="A350" s="116" t="s">
        <v>371</v>
      </c>
      <c r="B350" s="116" t="s">
        <v>322</v>
      </c>
      <c r="C350" s="116"/>
      <c r="D350" s="116" t="s">
        <v>399</v>
      </c>
      <c r="E350" s="116" t="s">
        <v>493</v>
      </c>
      <c r="F350" s="116">
        <v>40</v>
      </c>
      <c r="G350" s="117">
        <v>7676.71</v>
      </c>
      <c r="H350" s="116">
        <v>0</v>
      </c>
      <c r="I350" s="116" t="s">
        <v>322</v>
      </c>
      <c r="J350" s="117">
        <v>0</v>
      </c>
      <c r="K350" s="117">
        <v>0</v>
      </c>
      <c r="L350" s="117">
        <v>0</v>
      </c>
      <c r="M350" s="117">
        <v>0</v>
      </c>
      <c r="N350" s="117">
        <v>0</v>
      </c>
      <c r="O350" s="117">
        <v>1903.06</v>
      </c>
      <c r="P350" s="109">
        <v>948.6</v>
      </c>
      <c r="Q350" s="109">
        <v>1009.23</v>
      </c>
      <c r="R350" s="109">
        <v>7621.94</v>
      </c>
    </row>
    <row r="351" spans="1:18" x14ac:dyDescent="0.3">
      <c r="A351" s="116" t="s">
        <v>371</v>
      </c>
      <c r="B351" s="116" t="s">
        <v>322</v>
      </c>
      <c r="C351" s="116" t="s">
        <v>382</v>
      </c>
      <c r="D351" s="116" t="s">
        <v>399</v>
      </c>
      <c r="E351" s="116" t="s">
        <v>407</v>
      </c>
      <c r="F351" s="116">
        <v>40</v>
      </c>
      <c r="G351" s="117">
        <v>10920.41</v>
      </c>
      <c r="H351" s="116">
        <v>0</v>
      </c>
      <c r="I351" s="116" t="s">
        <v>322</v>
      </c>
      <c r="J351" s="117">
        <v>0</v>
      </c>
      <c r="K351" s="117">
        <v>0</v>
      </c>
      <c r="L351" s="117">
        <v>0</v>
      </c>
      <c r="M351" s="117">
        <v>0</v>
      </c>
      <c r="N351" s="117">
        <v>0</v>
      </c>
      <c r="O351" s="117">
        <v>1756.67</v>
      </c>
      <c r="P351" s="109">
        <v>1514.86</v>
      </c>
      <c r="Q351" s="109">
        <v>1416.23</v>
      </c>
      <c r="R351" s="109">
        <v>9745.99</v>
      </c>
    </row>
    <row r="352" spans="1:18" x14ac:dyDescent="0.3">
      <c r="A352" s="116" t="s">
        <v>371</v>
      </c>
      <c r="B352" s="116" t="s">
        <v>322</v>
      </c>
      <c r="C352" s="116" t="s">
        <v>406</v>
      </c>
      <c r="D352" s="116" t="s">
        <v>399</v>
      </c>
      <c r="E352" s="116" t="s">
        <v>435</v>
      </c>
      <c r="F352" s="116">
        <v>40</v>
      </c>
      <c r="G352" s="117">
        <v>9660.17</v>
      </c>
      <c r="H352" s="116">
        <v>0</v>
      </c>
      <c r="I352" s="116" t="s">
        <v>322</v>
      </c>
      <c r="J352" s="117">
        <v>0</v>
      </c>
      <c r="K352" s="117">
        <v>0</v>
      </c>
      <c r="L352" s="117">
        <v>0</v>
      </c>
      <c r="M352" s="117">
        <v>0</v>
      </c>
      <c r="N352" s="117">
        <v>0</v>
      </c>
      <c r="O352" s="117">
        <v>3220.57</v>
      </c>
      <c r="P352" s="109">
        <v>1441.53</v>
      </c>
      <c r="Q352" s="109">
        <v>1010.6</v>
      </c>
      <c r="R352" s="109">
        <v>10428.61</v>
      </c>
    </row>
    <row r="353" spans="1:18" x14ac:dyDescent="0.3">
      <c r="A353" s="116" t="s">
        <v>371</v>
      </c>
      <c r="B353" s="116" t="s">
        <v>322</v>
      </c>
      <c r="C353" s="116"/>
      <c r="D353" s="116" t="s">
        <v>399</v>
      </c>
      <c r="E353" s="116" t="s">
        <v>468</v>
      </c>
      <c r="F353" s="116">
        <v>40</v>
      </c>
      <c r="G353" s="117">
        <v>9217.68</v>
      </c>
      <c r="H353" s="116">
        <v>0</v>
      </c>
      <c r="I353" s="116" t="s">
        <v>322</v>
      </c>
      <c r="J353" s="117">
        <v>0</v>
      </c>
      <c r="K353" s="117">
        <v>0</v>
      </c>
      <c r="L353" s="117">
        <v>0</v>
      </c>
      <c r="M353" s="117">
        <v>0</v>
      </c>
      <c r="N353" s="117">
        <v>0</v>
      </c>
      <c r="O353" s="117">
        <v>3366.96</v>
      </c>
      <c r="P353" s="109">
        <v>1372.16</v>
      </c>
      <c r="Q353" s="109">
        <v>1009.98</v>
      </c>
      <c r="R353" s="109">
        <v>10202.5</v>
      </c>
    </row>
    <row r="354" spans="1:18" x14ac:dyDescent="0.3">
      <c r="A354" s="116" t="s">
        <v>371</v>
      </c>
      <c r="B354" s="116" t="s">
        <v>322</v>
      </c>
      <c r="C354" s="116"/>
      <c r="D354" s="116" t="s">
        <v>399</v>
      </c>
      <c r="E354" s="116" t="s">
        <v>518</v>
      </c>
      <c r="F354" s="116">
        <v>40</v>
      </c>
      <c r="G354" s="117">
        <v>9496.19</v>
      </c>
      <c r="H354" s="116">
        <v>0</v>
      </c>
      <c r="I354" s="116" t="s">
        <v>322</v>
      </c>
      <c r="J354" s="117">
        <v>0</v>
      </c>
      <c r="K354" s="117">
        <v>0</v>
      </c>
      <c r="L354" s="117">
        <v>0</v>
      </c>
      <c r="M354" s="117">
        <v>0</v>
      </c>
      <c r="N354" s="117">
        <v>0</v>
      </c>
      <c r="O354" s="117">
        <v>1903.06</v>
      </c>
      <c r="P354" s="109">
        <v>1405.07</v>
      </c>
      <c r="Q354" s="109">
        <v>1168.82</v>
      </c>
      <c r="R354" s="109">
        <v>8825.36</v>
      </c>
    </row>
    <row r="355" spans="1:18" x14ac:dyDescent="0.3">
      <c r="A355" s="116" t="s">
        <v>371</v>
      </c>
      <c r="B355" s="116" t="s">
        <v>322</v>
      </c>
      <c r="C355" s="116"/>
      <c r="D355" s="116" t="s">
        <v>399</v>
      </c>
      <c r="E355" s="116" t="s">
        <v>437</v>
      </c>
      <c r="F355" s="116">
        <v>40</v>
      </c>
      <c r="G355" s="117">
        <v>20527.830000000002</v>
      </c>
      <c r="H355" s="116">
        <v>0</v>
      </c>
      <c r="I355" s="116" t="s">
        <v>322</v>
      </c>
      <c r="J355" s="117">
        <v>0</v>
      </c>
      <c r="K355" s="117">
        <v>0</v>
      </c>
      <c r="L355" s="117">
        <v>0</v>
      </c>
      <c r="M355" s="117">
        <v>0</v>
      </c>
      <c r="N355" s="117">
        <v>0</v>
      </c>
      <c r="O355" s="117">
        <v>6139.59</v>
      </c>
      <c r="P355" s="109">
        <v>4760.1899999999996</v>
      </c>
      <c r="Q355" s="109">
        <v>3065.41</v>
      </c>
      <c r="R355" s="109">
        <v>18841.82</v>
      </c>
    </row>
    <row r="356" spans="1:18" x14ac:dyDescent="0.3">
      <c r="A356" s="116" t="s">
        <v>371</v>
      </c>
      <c r="B356" s="116" t="s">
        <v>322</v>
      </c>
      <c r="C356" s="116"/>
      <c r="D356" s="116" t="s">
        <v>399</v>
      </c>
      <c r="E356" s="116" t="s">
        <v>519</v>
      </c>
      <c r="F356" s="116">
        <v>40</v>
      </c>
      <c r="G356" s="117">
        <v>15765.29</v>
      </c>
      <c r="H356" s="116">
        <v>0</v>
      </c>
      <c r="I356" s="116" t="s">
        <v>322</v>
      </c>
      <c r="J356" s="117">
        <v>0</v>
      </c>
      <c r="K356" s="117">
        <v>0</v>
      </c>
      <c r="L356" s="117">
        <v>0</v>
      </c>
      <c r="M356" s="117">
        <v>0</v>
      </c>
      <c r="N356" s="117">
        <v>0</v>
      </c>
      <c r="O356" s="117">
        <v>2927.79</v>
      </c>
      <c r="P356" s="109">
        <v>3072.74</v>
      </c>
      <c r="Q356" s="109">
        <v>1373.65</v>
      </c>
      <c r="R356" s="109">
        <v>14246.69</v>
      </c>
    </row>
    <row r="357" spans="1:18" x14ac:dyDescent="0.3">
      <c r="A357" s="116" t="s">
        <v>371</v>
      </c>
      <c r="B357" s="116" t="s">
        <v>322</v>
      </c>
      <c r="C357" s="116"/>
      <c r="D357" s="116" t="s">
        <v>399</v>
      </c>
      <c r="E357" s="116" t="s">
        <v>520</v>
      </c>
      <c r="F357" s="116">
        <v>40</v>
      </c>
      <c r="G357" s="117">
        <v>8082.62</v>
      </c>
      <c r="H357" s="116">
        <v>0</v>
      </c>
      <c r="I357" s="116" t="s">
        <v>322</v>
      </c>
      <c r="J357" s="117">
        <v>0</v>
      </c>
      <c r="K357" s="117">
        <v>0</v>
      </c>
      <c r="L357" s="117">
        <v>0</v>
      </c>
      <c r="M357" s="117">
        <v>0</v>
      </c>
      <c r="N357" s="117">
        <v>0</v>
      </c>
      <c r="O357" s="117">
        <v>1903.06</v>
      </c>
      <c r="P357" s="109">
        <v>1073.74</v>
      </c>
      <c r="Q357" s="109">
        <v>960.08</v>
      </c>
      <c r="R357" s="109">
        <v>7951.86</v>
      </c>
    </row>
    <row r="358" spans="1:18" x14ac:dyDescent="0.3">
      <c r="A358" s="116" t="s">
        <v>371</v>
      </c>
      <c r="B358" s="116" t="s">
        <v>322</v>
      </c>
      <c r="C358" s="116"/>
      <c r="D358" s="116" t="s">
        <v>399</v>
      </c>
      <c r="E358" s="116" t="s">
        <v>521</v>
      </c>
      <c r="F358" s="116">
        <v>40</v>
      </c>
      <c r="G358" s="117">
        <v>16683.88</v>
      </c>
      <c r="H358" s="116">
        <v>0</v>
      </c>
      <c r="I358" s="116" t="s">
        <v>322</v>
      </c>
      <c r="J358" s="117">
        <v>0</v>
      </c>
      <c r="K358" s="117">
        <v>0</v>
      </c>
      <c r="L358" s="117">
        <v>0</v>
      </c>
      <c r="M358" s="117">
        <v>0</v>
      </c>
      <c r="N358" s="117">
        <v>0</v>
      </c>
      <c r="O358" s="117">
        <v>5436.24</v>
      </c>
      <c r="P358" s="109">
        <v>3703.11</v>
      </c>
      <c r="Q358" s="109">
        <v>2215.67</v>
      </c>
      <c r="R358" s="109">
        <v>16201.34</v>
      </c>
    </row>
    <row r="359" spans="1:18" x14ac:dyDescent="0.3">
      <c r="A359" s="116" t="s">
        <v>371</v>
      </c>
      <c r="B359" s="116" t="s">
        <v>322</v>
      </c>
      <c r="C359" s="116" t="s">
        <v>350</v>
      </c>
      <c r="D359" s="116" t="s">
        <v>399</v>
      </c>
      <c r="E359" s="116" t="s">
        <v>424</v>
      </c>
      <c r="F359" s="116">
        <v>40</v>
      </c>
      <c r="G359" s="117">
        <v>12583.56</v>
      </c>
      <c r="H359" s="116">
        <v>0</v>
      </c>
      <c r="I359" s="116" t="s">
        <v>322</v>
      </c>
      <c r="J359" s="117">
        <v>0</v>
      </c>
      <c r="K359" s="117">
        <v>0</v>
      </c>
      <c r="L359" s="117">
        <v>0</v>
      </c>
      <c r="M359" s="117">
        <v>0</v>
      </c>
      <c r="N359" s="117">
        <v>0</v>
      </c>
      <c r="O359" s="117">
        <v>3366.96</v>
      </c>
      <c r="P359" s="109">
        <v>2101.71</v>
      </c>
      <c r="Q359" s="109">
        <v>1343.77</v>
      </c>
      <c r="R359" s="109">
        <v>12505.04</v>
      </c>
    </row>
    <row r="360" spans="1:18" x14ac:dyDescent="0.3">
      <c r="A360" s="116" t="s">
        <v>371</v>
      </c>
      <c r="B360" s="116" t="s">
        <v>322</v>
      </c>
      <c r="C360" s="116" t="s">
        <v>382</v>
      </c>
      <c r="D360" s="116" t="s">
        <v>399</v>
      </c>
      <c r="E360" s="116" t="s">
        <v>424</v>
      </c>
      <c r="F360" s="116">
        <v>40</v>
      </c>
      <c r="G360" s="117">
        <v>10539.96</v>
      </c>
      <c r="H360" s="116">
        <v>0</v>
      </c>
      <c r="I360" s="116" t="s">
        <v>322</v>
      </c>
      <c r="J360" s="117">
        <v>0</v>
      </c>
      <c r="K360" s="117">
        <v>0</v>
      </c>
      <c r="L360" s="117">
        <v>0</v>
      </c>
      <c r="M360" s="117">
        <v>0</v>
      </c>
      <c r="N360" s="117">
        <v>0</v>
      </c>
      <c r="O360" s="117">
        <v>1903.06</v>
      </c>
      <c r="P360" s="109">
        <v>1802.78</v>
      </c>
      <c r="Q360" s="109">
        <v>766.36</v>
      </c>
      <c r="R360" s="109">
        <v>9873.8799999999992</v>
      </c>
    </row>
    <row r="361" spans="1:18" x14ac:dyDescent="0.3">
      <c r="A361" s="116" t="s">
        <v>371</v>
      </c>
      <c r="B361" s="116" t="s">
        <v>322</v>
      </c>
      <c r="C361" s="116"/>
      <c r="D361" s="116" t="s">
        <v>399</v>
      </c>
      <c r="E361" s="116" t="s">
        <v>462</v>
      </c>
      <c r="F361" s="116">
        <v>40</v>
      </c>
      <c r="G361" s="117">
        <v>11305.57</v>
      </c>
      <c r="H361" s="116">
        <v>0</v>
      </c>
      <c r="I361" s="116" t="s">
        <v>322</v>
      </c>
      <c r="J361" s="117">
        <v>0</v>
      </c>
      <c r="K361" s="117">
        <v>0</v>
      </c>
      <c r="L361" s="117">
        <v>0</v>
      </c>
      <c r="M361" s="117">
        <v>0</v>
      </c>
      <c r="N361" s="117">
        <v>0</v>
      </c>
      <c r="O361" s="117">
        <v>1610.29</v>
      </c>
      <c r="P361" s="109">
        <v>1828.3</v>
      </c>
      <c r="Q361" s="109">
        <v>1439.16</v>
      </c>
      <c r="R361" s="109">
        <v>9648.4</v>
      </c>
    </row>
    <row r="362" spans="1:18" x14ac:dyDescent="0.3">
      <c r="A362" s="116" t="s">
        <v>371</v>
      </c>
      <c r="B362" s="116" t="s">
        <v>322</v>
      </c>
      <c r="C362" s="116"/>
      <c r="D362" s="116" t="s">
        <v>399</v>
      </c>
      <c r="E362" s="116" t="s">
        <v>400</v>
      </c>
      <c r="F362" s="116">
        <v>40</v>
      </c>
      <c r="G362" s="117">
        <v>7009.5</v>
      </c>
      <c r="H362" s="116">
        <v>0</v>
      </c>
      <c r="I362" s="116" t="s">
        <v>322</v>
      </c>
      <c r="J362" s="117">
        <v>0</v>
      </c>
      <c r="K362" s="117">
        <v>0</v>
      </c>
      <c r="L362" s="117">
        <v>0</v>
      </c>
      <c r="M362" s="117">
        <v>0</v>
      </c>
      <c r="N362" s="117">
        <v>0</v>
      </c>
      <c r="O362" s="117">
        <v>3220.57</v>
      </c>
      <c r="P362" s="109">
        <v>689.51</v>
      </c>
      <c r="Q362" s="109">
        <v>904.97</v>
      </c>
      <c r="R362" s="109">
        <v>8635.59</v>
      </c>
    </row>
    <row r="363" spans="1:18" x14ac:dyDescent="0.3">
      <c r="A363" s="116" t="s">
        <v>371</v>
      </c>
      <c r="B363" s="116" t="s">
        <v>322</v>
      </c>
      <c r="C363" s="116"/>
      <c r="D363" s="116" t="s">
        <v>399</v>
      </c>
      <c r="E363" s="116" t="s">
        <v>439</v>
      </c>
      <c r="F363" s="116">
        <v>40</v>
      </c>
      <c r="G363" s="117">
        <v>7670.05</v>
      </c>
      <c r="H363" s="116">
        <v>0</v>
      </c>
      <c r="I363" s="116" t="s">
        <v>322</v>
      </c>
      <c r="J363" s="117">
        <v>0</v>
      </c>
      <c r="K363" s="117">
        <v>0</v>
      </c>
      <c r="L363" s="117">
        <v>0</v>
      </c>
      <c r="M363" s="117">
        <v>0</v>
      </c>
      <c r="N363" s="117">
        <v>0</v>
      </c>
      <c r="O363" s="117">
        <v>0</v>
      </c>
      <c r="P363" s="109">
        <v>419.15</v>
      </c>
      <c r="Q363" s="109">
        <v>1008.17</v>
      </c>
      <c r="R363" s="109">
        <v>6242.73</v>
      </c>
    </row>
    <row r="364" spans="1:18" x14ac:dyDescent="0.3">
      <c r="A364" s="116" t="s">
        <v>371</v>
      </c>
      <c r="B364" s="116" t="s">
        <v>322</v>
      </c>
      <c r="C364" s="116"/>
      <c r="D364" s="116" t="s">
        <v>399</v>
      </c>
      <c r="E364" s="116" t="s">
        <v>522</v>
      </c>
      <c r="F364" s="116">
        <v>40</v>
      </c>
      <c r="G364" s="117">
        <v>9773.99</v>
      </c>
      <c r="H364" s="116">
        <v>0</v>
      </c>
      <c r="I364" s="116" t="s">
        <v>322</v>
      </c>
      <c r="J364" s="117">
        <v>0</v>
      </c>
      <c r="K364" s="117">
        <v>0</v>
      </c>
      <c r="L364" s="117">
        <v>0</v>
      </c>
      <c r="M364" s="117">
        <v>0</v>
      </c>
      <c r="N364" s="117">
        <v>0</v>
      </c>
      <c r="O364" s="117">
        <v>2195.84</v>
      </c>
      <c r="P364" s="109">
        <v>707.07</v>
      </c>
      <c r="Q364" s="109">
        <v>1344.8</v>
      </c>
      <c r="R364" s="109">
        <v>9917.9599999999991</v>
      </c>
    </row>
    <row r="365" spans="1:18" x14ac:dyDescent="0.3">
      <c r="A365" s="116" t="s">
        <v>371</v>
      </c>
      <c r="B365" s="116" t="s">
        <v>322</v>
      </c>
      <c r="C365" s="116"/>
      <c r="D365" s="116" t="s">
        <v>399</v>
      </c>
      <c r="E365" s="116" t="s">
        <v>481</v>
      </c>
      <c r="F365" s="116">
        <v>40</v>
      </c>
      <c r="G365" s="117">
        <v>9811.7099999999991</v>
      </c>
      <c r="H365" s="116">
        <v>0</v>
      </c>
      <c r="I365" s="116" t="s">
        <v>322</v>
      </c>
      <c r="J365" s="117">
        <v>0</v>
      </c>
      <c r="K365" s="117">
        <v>0</v>
      </c>
      <c r="L365" s="117">
        <v>0</v>
      </c>
      <c r="M365" s="117">
        <v>0</v>
      </c>
      <c r="N365" s="117">
        <v>0</v>
      </c>
      <c r="O365" s="117">
        <v>2488.62</v>
      </c>
      <c r="P365" s="109">
        <v>932.95</v>
      </c>
      <c r="Q365" s="109">
        <v>762.12</v>
      </c>
      <c r="R365" s="109">
        <v>10605.26</v>
      </c>
    </row>
    <row r="366" spans="1:18" x14ac:dyDescent="0.3">
      <c r="A366" s="116" t="s">
        <v>371</v>
      </c>
      <c r="B366" s="116" t="s">
        <v>322</v>
      </c>
      <c r="C366" s="116"/>
      <c r="D366" s="116" t="s">
        <v>399</v>
      </c>
      <c r="E366" s="116" t="s">
        <v>423</v>
      </c>
      <c r="F366" s="116">
        <v>40</v>
      </c>
      <c r="G366" s="117">
        <v>7684.86</v>
      </c>
      <c r="H366" s="116">
        <v>0</v>
      </c>
      <c r="I366" s="116" t="s">
        <v>322</v>
      </c>
      <c r="J366" s="117">
        <v>0</v>
      </c>
      <c r="K366" s="117">
        <v>0</v>
      </c>
      <c r="L366" s="117">
        <v>0</v>
      </c>
      <c r="M366" s="117">
        <v>0</v>
      </c>
      <c r="N366" s="117">
        <v>0</v>
      </c>
      <c r="O366" s="117">
        <v>3074.19</v>
      </c>
      <c r="P366" s="109">
        <v>950.48</v>
      </c>
      <c r="Q366" s="109">
        <v>1010.54</v>
      </c>
      <c r="R366" s="109">
        <v>8798.0300000000007</v>
      </c>
    </row>
    <row r="367" spans="1:18" x14ac:dyDescent="0.3">
      <c r="A367" s="116" t="s">
        <v>371</v>
      </c>
      <c r="B367" s="116" t="s">
        <v>322</v>
      </c>
      <c r="C367" s="116"/>
      <c r="D367" s="116" t="s">
        <v>399</v>
      </c>
      <c r="E367" s="116" t="s">
        <v>523</v>
      </c>
      <c r="F367" s="116">
        <v>40</v>
      </c>
      <c r="G367" s="117">
        <v>8832.56</v>
      </c>
      <c r="H367" s="116">
        <v>0</v>
      </c>
      <c r="I367" s="116" t="s">
        <v>322</v>
      </c>
      <c r="J367" s="117">
        <v>0</v>
      </c>
      <c r="K367" s="117">
        <v>0</v>
      </c>
      <c r="L367" s="117">
        <v>0</v>
      </c>
      <c r="M367" s="117">
        <v>0</v>
      </c>
      <c r="N367" s="117">
        <v>0</v>
      </c>
      <c r="O367" s="117">
        <v>292.77</v>
      </c>
      <c r="P367" s="109">
        <v>1197.56</v>
      </c>
      <c r="Q367" s="109">
        <v>1070.19</v>
      </c>
      <c r="R367" s="109">
        <v>6857.58</v>
      </c>
    </row>
    <row r="368" spans="1:18" x14ac:dyDescent="0.3">
      <c r="A368" s="116" t="s">
        <v>371</v>
      </c>
      <c r="B368" s="116" t="s">
        <v>322</v>
      </c>
      <c r="C368" s="116"/>
      <c r="D368" s="116" t="s">
        <v>399</v>
      </c>
      <c r="E368" s="116" t="s">
        <v>442</v>
      </c>
      <c r="F368" s="116">
        <v>40</v>
      </c>
      <c r="G368" s="117">
        <v>11161.02</v>
      </c>
      <c r="H368" s="116">
        <v>0</v>
      </c>
      <c r="I368" s="116" t="s">
        <v>322</v>
      </c>
      <c r="J368" s="117">
        <v>0</v>
      </c>
      <c r="K368" s="117">
        <v>0</v>
      </c>
      <c r="L368" s="117">
        <v>0</v>
      </c>
      <c r="M368" s="117">
        <v>0</v>
      </c>
      <c r="N368" s="117">
        <v>0</v>
      </c>
      <c r="O368" s="117">
        <v>3366.96</v>
      </c>
      <c r="P368" s="109">
        <v>1974.19</v>
      </c>
      <c r="Q368" s="109">
        <v>764.09</v>
      </c>
      <c r="R368" s="109">
        <v>11789.7</v>
      </c>
    </row>
    <row r="369" spans="1:18" x14ac:dyDescent="0.3">
      <c r="A369" s="116" t="s">
        <v>371</v>
      </c>
      <c r="B369" s="116" t="s">
        <v>322</v>
      </c>
      <c r="C369" s="116"/>
      <c r="D369" s="116" t="s">
        <v>399</v>
      </c>
      <c r="E369" s="116" t="s">
        <v>524</v>
      </c>
      <c r="F369" s="116">
        <v>40</v>
      </c>
      <c r="G369" s="117">
        <v>8827.14</v>
      </c>
      <c r="H369" s="116">
        <v>0</v>
      </c>
      <c r="I369" s="116" t="s">
        <v>322</v>
      </c>
      <c r="J369" s="117">
        <v>0</v>
      </c>
      <c r="K369" s="117">
        <v>0</v>
      </c>
      <c r="L369" s="117">
        <v>0</v>
      </c>
      <c r="M369" s="117">
        <v>0</v>
      </c>
      <c r="N369" s="117">
        <v>0</v>
      </c>
      <c r="O369" s="117">
        <v>3807.59</v>
      </c>
      <c r="P369" s="109">
        <v>1329.36</v>
      </c>
      <c r="Q369" s="109">
        <v>1069.32</v>
      </c>
      <c r="R369" s="109">
        <v>10236.049999999999</v>
      </c>
    </row>
    <row r="370" spans="1:18" x14ac:dyDescent="0.3">
      <c r="A370" s="116" t="s">
        <v>371</v>
      </c>
      <c r="B370" s="116" t="s">
        <v>322</v>
      </c>
      <c r="C370" s="116"/>
      <c r="D370" s="116" t="s">
        <v>399</v>
      </c>
      <c r="E370" s="116" t="s">
        <v>525</v>
      </c>
      <c r="F370" s="116">
        <v>40</v>
      </c>
      <c r="G370" s="117">
        <v>9839.9599999999991</v>
      </c>
      <c r="H370" s="116">
        <v>0</v>
      </c>
      <c r="I370" s="116" t="s">
        <v>322</v>
      </c>
      <c r="J370" s="117">
        <v>0</v>
      </c>
      <c r="K370" s="117">
        <v>0</v>
      </c>
      <c r="L370" s="117">
        <v>0</v>
      </c>
      <c r="M370" s="117">
        <v>0</v>
      </c>
      <c r="N370" s="117">
        <v>0</v>
      </c>
      <c r="O370" s="117">
        <v>3366.96</v>
      </c>
      <c r="P370" s="109">
        <v>1344.03</v>
      </c>
      <c r="Q370" s="109">
        <v>1355.35</v>
      </c>
      <c r="R370" s="109">
        <v>10507.54</v>
      </c>
    </row>
    <row r="371" spans="1:18" x14ac:dyDescent="0.3">
      <c r="A371" s="116" t="s">
        <v>371</v>
      </c>
      <c r="B371" s="116" t="s">
        <v>322</v>
      </c>
      <c r="C371" s="116"/>
      <c r="D371" s="116" t="s">
        <v>399</v>
      </c>
      <c r="E371" s="116" t="s">
        <v>526</v>
      </c>
      <c r="F371" s="116">
        <v>40</v>
      </c>
      <c r="G371" s="117">
        <v>9383.7999999999993</v>
      </c>
      <c r="H371" s="116">
        <v>0</v>
      </c>
      <c r="I371" s="116" t="s">
        <v>322</v>
      </c>
      <c r="J371" s="117">
        <v>0</v>
      </c>
      <c r="K371" s="117">
        <v>0</v>
      </c>
      <c r="L371" s="117">
        <v>0</v>
      </c>
      <c r="M371" s="117">
        <v>0</v>
      </c>
      <c r="N371" s="117">
        <v>0</v>
      </c>
      <c r="O371" s="117">
        <v>3366.96</v>
      </c>
      <c r="P371" s="109">
        <v>1425.49</v>
      </c>
      <c r="Q371" s="109">
        <v>1122.8800000000001</v>
      </c>
      <c r="R371" s="109">
        <v>10202.39</v>
      </c>
    </row>
    <row r="372" spans="1:18" x14ac:dyDescent="0.3">
      <c r="A372" s="116" t="s">
        <v>371</v>
      </c>
      <c r="B372" s="116" t="s">
        <v>322</v>
      </c>
      <c r="C372" s="116"/>
      <c r="D372" s="116" t="s">
        <v>399</v>
      </c>
      <c r="E372" s="116" t="s">
        <v>446</v>
      </c>
      <c r="F372" s="116">
        <v>40</v>
      </c>
      <c r="G372" s="117">
        <v>9839.9599999999991</v>
      </c>
      <c r="H372" s="116">
        <v>0</v>
      </c>
      <c r="I372" s="116" t="s">
        <v>322</v>
      </c>
      <c r="J372" s="117">
        <v>0</v>
      </c>
      <c r="K372" s="117">
        <v>0</v>
      </c>
      <c r="L372" s="117">
        <v>0</v>
      </c>
      <c r="M372" s="117">
        <v>0</v>
      </c>
      <c r="N372" s="117">
        <v>0</v>
      </c>
      <c r="O372" s="117">
        <v>1171.1099999999999</v>
      </c>
      <c r="P372" s="109">
        <v>1448.31</v>
      </c>
      <c r="Q372" s="109">
        <v>1355.35</v>
      </c>
      <c r="R372" s="109">
        <v>8207.41</v>
      </c>
    </row>
    <row r="373" spans="1:18" x14ac:dyDescent="0.3">
      <c r="A373" s="116" t="s">
        <v>371</v>
      </c>
      <c r="B373" s="116" t="s">
        <v>322</v>
      </c>
      <c r="C373" s="116"/>
      <c r="D373" s="116" t="s">
        <v>399</v>
      </c>
      <c r="E373" s="116" t="s">
        <v>527</v>
      </c>
      <c r="F373" s="116">
        <v>40</v>
      </c>
      <c r="G373" s="117">
        <v>8466.56</v>
      </c>
      <c r="H373" s="116">
        <v>0</v>
      </c>
      <c r="I373" s="116" t="s">
        <v>322</v>
      </c>
      <c r="J373" s="117">
        <v>0</v>
      </c>
      <c r="K373" s="117">
        <v>0</v>
      </c>
      <c r="L373" s="117">
        <v>0</v>
      </c>
      <c r="M373" s="117">
        <v>0</v>
      </c>
      <c r="N373" s="117">
        <v>0</v>
      </c>
      <c r="O373" s="117">
        <v>3366.96</v>
      </c>
      <c r="P373" s="109">
        <v>1113.01</v>
      </c>
      <c r="Q373" s="109">
        <v>1011.63</v>
      </c>
      <c r="R373" s="109">
        <v>9708.8799999999992</v>
      </c>
    </row>
    <row r="374" spans="1:18" x14ac:dyDescent="0.3">
      <c r="A374" s="116" t="s">
        <v>371</v>
      </c>
      <c r="B374" s="116" t="s">
        <v>322</v>
      </c>
      <c r="C374" s="116" t="s">
        <v>350</v>
      </c>
      <c r="D374" s="116" t="s">
        <v>399</v>
      </c>
      <c r="E374" s="116" t="s">
        <v>462</v>
      </c>
      <c r="F374" s="116">
        <v>40</v>
      </c>
      <c r="G374" s="117">
        <v>12593.45</v>
      </c>
      <c r="H374" s="116">
        <v>0</v>
      </c>
      <c r="I374" s="116" t="s">
        <v>322</v>
      </c>
      <c r="J374" s="117">
        <v>0</v>
      </c>
      <c r="K374" s="117">
        <v>0</v>
      </c>
      <c r="L374" s="117">
        <v>0</v>
      </c>
      <c r="M374" s="117">
        <v>0</v>
      </c>
      <c r="N374" s="117">
        <v>0</v>
      </c>
      <c r="O374" s="117">
        <v>3074.19</v>
      </c>
      <c r="P374" s="109">
        <v>2208.27</v>
      </c>
      <c r="Q374" s="109">
        <v>1345.35</v>
      </c>
      <c r="R374" s="109">
        <v>12114.02</v>
      </c>
    </row>
    <row r="375" spans="1:18" x14ac:dyDescent="0.3">
      <c r="A375" s="116" t="s">
        <v>371</v>
      </c>
      <c r="B375" s="116" t="s">
        <v>322</v>
      </c>
      <c r="C375" s="116"/>
      <c r="D375" s="116" t="s">
        <v>399</v>
      </c>
      <c r="E375" s="116" t="s">
        <v>400</v>
      </c>
      <c r="F375" s="116">
        <v>40</v>
      </c>
      <c r="G375" s="117">
        <v>8092.52</v>
      </c>
      <c r="H375" s="116">
        <v>0</v>
      </c>
      <c r="I375" s="116" t="s">
        <v>322</v>
      </c>
      <c r="J375" s="117">
        <v>0</v>
      </c>
      <c r="K375" s="117">
        <v>0</v>
      </c>
      <c r="L375" s="117">
        <v>0</v>
      </c>
      <c r="M375" s="117">
        <v>0</v>
      </c>
      <c r="N375" s="117">
        <v>0</v>
      </c>
      <c r="O375" s="117">
        <v>1610.28</v>
      </c>
      <c r="P375" s="109">
        <v>1076.04</v>
      </c>
      <c r="Q375" s="109">
        <v>961.62</v>
      </c>
      <c r="R375" s="109">
        <v>7665.14</v>
      </c>
    </row>
    <row r="376" spans="1:18" x14ac:dyDescent="0.3">
      <c r="A376" s="116" t="s">
        <v>371</v>
      </c>
      <c r="B376" s="116" t="s">
        <v>322</v>
      </c>
      <c r="C376" s="116"/>
      <c r="D376" s="116" t="s">
        <v>399</v>
      </c>
      <c r="E376" s="116" t="s">
        <v>528</v>
      </c>
      <c r="F376" s="116">
        <v>40</v>
      </c>
      <c r="G376" s="117">
        <v>8090.98</v>
      </c>
      <c r="H376" s="116">
        <v>0</v>
      </c>
      <c r="I376" s="116" t="s">
        <v>322</v>
      </c>
      <c r="J376" s="117">
        <v>0</v>
      </c>
      <c r="K376" s="117">
        <v>0</v>
      </c>
      <c r="L376" s="117">
        <v>0</v>
      </c>
      <c r="M376" s="117">
        <v>0</v>
      </c>
      <c r="N376" s="117">
        <v>0</v>
      </c>
      <c r="O376" s="117">
        <v>3220.57</v>
      </c>
      <c r="P376" s="109">
        <v>1075.68</v>
      </c>
      <c r="Q376" s="109">
        <v>961.38</v>
      </c>
      <c r="R376" s="109">
        <v>9274.49</v>
      </c>
    </row>
    <row r="377" spans="1:18" x14ac:dyDescent="0.3">
      <c r="A377" s="116" t="s">
        <v>371</v>
      </c>
      <c r="B377" s="116" t="s">
        <v>322</v>
      </c>
      <c r="C377" s="116"/>
      <c r="D377" s="116" t="s">
        <v>399</v>
      </c>
      <c r="E377" s="116" t="s">
        <v>529</v>
      </c>
      <c r="F377" s="116">
        <v>40</v>
      </c>
      <c r="G377" s="117">
        <v>17993.189999999999</v>
      </c>
      <c r="H377" s="116">
        <v>0</v>
      </c>
      <c r="I377" s="116" t="s">
        <v>322</v>
      </c>
      <c r="J377" s="117">
        <v>0</v>
      </c>
      <c r="K377" s="117">
        <v>0</v>
      </c>
      <c r="L377" s="117">
        <v>0</v>
      </c>
      <c r="M377" s="117">
        <v>0</v>
      </c>
      <c r="N377" s="117">
        <v>0</v>
      </c>
      <c r="O377" s="117">
        <v>2659.87</v>
      </c>
      <c r="P377" s="109">
        <v>4063.17</v>
      </c>
      <c r="Q377" s="109">
        <v>2659.87</v>
      </c>
      <c r="R377" s="109">
        <v>13930.02</v>
      </c>
    </row>
    <row r="378" spans="1:18" x14ac:dyDescent="0.3">
      <c r="A378" s="116" t="s">
        <v>371</v>
      </c>
      <c r="B378" s="116" t="s">
        <v>322</v>
      </c>
      <c r="C378" s="116"/>
      <c r="D378" s="116" t="s">
        <v>399</v>
      </c>
      <c r="E378" s="116" t="s">
        <v>432</v>
      </c>
      <c r="F378" s="116">
        <v>40</v>
      </c>
      <c r="G378" s="117">
        <v>8056.63</v>
      </c>
      <c r="H378" s="116">
        <v>0</v>
      </c>
      <c r="I378" s="116" t="s">
        <v>322</v>
      </c>
      <c r="J378" s="117">
        <v>0</v>
      </c>
      <c r="K378" s="117">
        <v>0</v>
      </c>
      <c r="L378" s="117">
        <v>0</v>
      </c>
      <c r="M378" s="117">
        <v>0</v>
      </c>
      <c r="N378" s="117">
        <v>0</v>
      </c>
      <c r="O378" s="117">
        <v>3074.19</v>
      </c>
      <c r="P378" s="109">
        <v>1036.3599999999999</v>
      </c>
      <c r="Q378" s="109">
        <v>1070.02</v>
      </c>
      <c r="R378" s="109">
        <v>9024.44</v>
      </c>
    </row>
    <row r="379" spans="1:18" x14ac:dyDescent="0.3">
      <c r="A379" s="116" t="s">
        <v>371</v>
      </c>
      <c r="B379" s="116" t="s">
        <v>322</v>
      </c>
      <c r="C379" s="116"/>
      <c r="D379" s="116" t="s">
        <v>399</v>
      </c>
      <c r="E379" s="116" t="s">
        <v>495</v>
      </c>
      <c r="F379" s="116">
        <v>40</v>
      </c>
      <c r="G379" s="117">
        <v>4717.25</v>
      </c>
      <c r="H379" s="116">
        <v>0</v>
      </c>
      <c r="I379" s="116" t="s">
        <v>322</v>
      </c>
      <c r="J379" s="117">
        <v>0</v>
      </c>
      <c r="K379" s="117">
        <v>0</v>
      </c>
      <c r="L379" s="117">
        <v>0</v>
      </c>
      <c r="M379" s="117">
        <v>0</v>
      </c>
      <c r="N379" s="117">
        <v>0</v>
      </c>
      <c r="O379" s="117">
        <v>1499.35</v>
      </c>
      <c r="P379" s="109">
        <v>290.85000000000002</v>
      </c>
      <c r="Q379" s="109">
        <v>486.35</v>
      </c>
      <c r="R379" s="109">
        <v>5439.4</v>
      </c>
    </row>
    <row r="380" spans="1:18" x14ac:dyDescent="0.3">
      <c r="A380" s="116" t="s">
        <v>371</v>
      </c>
      <c r="B380" s="116" t="s">
        <v>322</v>
      </c>
      <c r="C380" s="116" t="s">
        <v>382</v>
      </c>
      <c r="D380" s="116" t="s">
        <v>399</v>
      </c>
      <c r="E380" s="116" t="s">
        <v>478</v>
      </c>
      <c r="F380" s="116">
        <v>40</v>
      </c>
      <c r="G380" s="117">
        <v>13202.67</v>
      </c>
      <c r="H380" s="116">
        <v>0</v>
      </c>
      <c r="I380" s="116" t="s">
        <v>322</v>
      </c>
      <c r="J380" s="117">
        <v>0</v>
      </c>
      <c r="K380" s="117">
        <v>0</v>
      </c>
      <c r="L380" s="117">
        <v>0</v>
      </c>
      <c r="M380" s="117">
        <v>0</v>
      </c>
      <c r="N380" s="117">
        <v>0</v>
      </c>
      <c r="O380" s="117">
        <v>3366.96</v>
      </c>
      <c r="P380" s="109">
        <v>2301.48</v>
      </c>
      <c r="Q380" s="109">
        <v>1615.63</v>
      </c>
      <c r="R380" s="109">
        <v>12652.52</v>
      </c>
    </row>
    <row r="381" spans="1:18" x14ac:dyDescent="0.3">
      <c r="A381" s="116" t="s">
        <v>371</v>
      </c>
      <c r="B381" s="116" t="s">
        <v>322</v>
      </c>
      <c r="C381" s="116" t="s">
        <v>382</v>
      </c>
      <c r="D381" s="116" t="s">
        <v>399</v>
      </c>
      <c r="E381" s="116" t="s">
        <v>435</v>
      </c>
      <c r="F381" s="116">
        <v>40</v>
      </c>
      <c r="G381" s="117">
        <v>11467.63</v>
      </c>
      <c r="H381" s="116">
        <v>0</v>
      </c>
      <c r="I381" s="116" t="s">
        <v>322</v>
      </c>
      <c r="J381" s="117">
        <v>0</v>
      </c>
      <c r="K381" s="117">
        <v>0</v>
      </c>
      <c r="L381" s="117">
        <v>0</v>
      </c>
      <c r="M381" s="117">
        <v>0</v>
      </c>
      <c r="N381" s="117">
        <v>0</v>
      </c>
      <c r="O381" s="117">
        <v>2880.02</v>
      </c>
      <c r="P381" s="109">
        <v>1831.26</v>
      </c>
      <c r="Q381" s="109">
        <v>1353.09</v>
      </c>
      <c r="R381" s="109">
        <v>11163.3</v>
      </c>
    </row>
    <row r="382" spans="1:18" x14ac:dyDescent="0.3">
      <c r="A382" s="116" t="s">
        <v>371</v>
      </c>
      <c r="B382" s="116" t="s">
        <v>322</v>
      </c>
      <c r="C382" s="116"/>
      <c r="D382" s="116" t="s">
        <v>399</v>
      </c>
      <c r="E382" s="116" t="s">
        <v>530</v>
      </c>
      <c r="F382" s="116">
        <v>40</v>
      </c>
      <c r="G382" s="117">
        <v>9296.1</v>
      </c>
      <c r="H382" s="116">
        <v>0</v>
      </c>
      <c r="I382" s="116" t="s">
        <v>322</v>
      </c>
      <c r="J382" s="117">
        <v>0</v>
      </c>
      <c r="K382" s="117">
        <v>0</v>
      </c>
      <c r="L382" s="117">
        <v>0</v>
      </c>
      <c r="M382" s="117">
        <v>0</v>
      </c>
      <c r="N382" s="117">
        <v>0</v>
      </c>
      <c r="O382" s="117">
        <v>3366.96</v>
      </c>
      <c r="P382" s="109">
        <v>1326.69</v>
      </c>
      <c r="Q382" s="109">
        <v>1253.71</v>
      </c>
      <c r="R382" s="109">
        <v>10082.66</v>
      </c>
    </row>
    <row r="383" spans="1:18" x14ac:dyDescent="0.3">
      <c r="A383" s="116" t="s">
        <v>371</v>
      </c>
      <c r="B383" s="116" t="s">
        <v>322</v>
      </c>
      <c r="C383" s="116"/>
      <c r="D383" s="116" t="s">
        <v>399</v>
      </c>
      <c r="E383" s="116" t="s">
        <v>402</v>
      </c>
      <c r="F383" s="116">
        <v>40</v>
      </c>
      <c r="G383" s="117">
        <v>4717.25</v>
      </c>
      <c r="H383" s="116">
        <v>0</v>
      </c>
      <c r="I383" s="116" t="s">
        <v>322</v>
      </c>
      <c r="J383" s="117">
        <v>0</v>
      </c>
      <c r="K383" s="117">
        <v>0</v>
      </c>
      <c r="L383" s="117">
        <v>0</v>
      </c>
      <c r="M383" s="117">
        <v>0</v>
      </c>
      <c r="N383" s="117">
        <v>0</v>
      </c>
      <c r="O383" s="117">
        <v>3118.09</v>
      </c>
      <c r="P383" s="109">
        <v>290.85000000000002</v>
      </c>
      <c r="Q383" s="109">
        <v>486.35</v>
      </c>
      <c r="R383" s="109">
        <v>7058.14</v>
      </c>
    </row>
    <row r="384" spans="1:18" x14ac:dyDescent="0.3">
      <c r="A384" s="116" t="s">
        <v>371</v>
      </c>
      <c r="B384" s="116" t="s">
        <v>322</v>
      </c>
      <c r="C384" s="116" t="s">
        <v>382</v>
      </c>
      <c r="D384" s="116" t="s">
        <v>399</v>
      </c>
      <c r="E384" s="116" t="s">
        <v>475</v>
      </c>
      <c r="F384" s="116">
        <v>40</v>
      </c>
      <c r="G384" s="117">
        <v>9523.27</v>
      </c>
      <c r="H384" s="116">
        <v>0</v>
      </c>
      <c r="I384" s="116" t="s">
        <v>322</v>
      </c>
      <c r="J384" s="117">
        <v>0</v>
      </c>
      <c r="K384" s="117">
        <v>0</v>
      </c>
      <c r="L384" s="117">
        <v>0</v>
      </c>
      <c r="M384" s="117">
        <v>0</v>
      </c>
      <c r="N384" s="117">
        <v>0</v>
      </c>
      <c r="O384" s="117">
        <v>1317.5</v>
      </c>
      <c r="P384" s="109">
        <v>1405.95</v>
      </c>
      <c r="Q384" s="109">
        <v>1192.68</v>
      </c>
      <c r="R384" s="109">
        <v>8242.14</v>
      </c>
    </row>
    <row r="385" spans="1:18" x14ac:dyDescent="0.3">
      <c r="A385" s="116" t="s">
        <v>371</v>
      </c>
      <c r="B385" s="116" t="s">
        <v>322</v>
      </c>
      <c r="C385" s="116"/>
      <c r="D385" s="116" t="s">
        <v>399</v>
      </c>
      <c r="E385" s="116" t="s">
        <v>434</v>
      </c>
      <c r="F385" s="116">
        <v>40</v>
      </c>
      <c r="G385" s="117">
        <v>12220.13</v>
      </c>
      <c r="H385" s="116">
        <v>0</v>
      </c>
      <c r="I385" s="116" t="s">
        <v>322</v>
      </c>
      <c r="J385" s="117">
        <v>0</v>
      </c>
      <c r="K385" s="117">
        <v>0</v>
      </c>
      <c r="L385" s="117">
        <v>0</v>
      </c>
      <c r="M385" s="117">
        <v>0</v>
      </c>
      <c r="N385" s="117">
        <v>0</v>
      </c>
      <c r="O385" s="117">
        <v>2907.29</v>
      </c>
      <c r="P385" s="109">
        <v>2423.44</v>
      </c>
      <c r="Q385" s="109">
        <v>1736.18</v>
      </c>
      <c r="R385" s="109">
        <v>10967.8</v>
      </c>
    </row>
    <row r="386" spans="1:18" x14ac:dyDescent="0.3">
      <c r="A386" s="116" t="s">
        <v>371</v>
      </c>
      <c r="B386" s="116" t="s">
        <v>322</v>
      </c>
      <c r="C386" s="116"/>
      <c r="D386" s="116" t="s">
        <v>399</v>
      </c>
      <c r="E386" s="116" t="s">
        <v>437</v>
      </c>
      <c r="F386" s="116">
        <v>40</v>
      </c>
      <c r="G386" s="117">
        <v>19704.7</v>
      </c>
      <c r="H386" s="116">
        <v>0</v>
      </c>
      <c r="I386" s="116" t="s">
        <v>322</v>
      </c>
      <c r="J386" s="117">
        <v>0</v>
      </c>
      <c r="K386" s="117">
        <v>0</v>
      </c>
      <c r="L386" s="117">
        <v>0</v>
      </c>
      <c r="M386" s="117">
        <v>0</v>
      </c>
      <c r="N386" s="117">
        <v>0</v>
      </c>
      <c r="O386" s="117">
        <v>0</v>
      </c>
      <c r="P386" s="109">
        <v>3805.16</v>
      </c>
      <c r="Q386" s="109">
        <v>2649.73</v>
      </c>
      <c r="R386" s="109">
        <v>13249.81</v>
      </c>
    </row>
    <row r="387" spans="1:18" x14ac:dyDescent="0.3">
      <c r="A387" s="116" t="s">
        <v>371</v>
      </c>
      <c r="B387" s="116" t="s">
        <v>322</v>
      </c>
      <c r="C387" s="116"/>
      <c r="D387" s="116" t="s">
        <v>399</v>
      </c>
      <c r="E387" s="116" t="s">
        <v>423</v>
      </c>
      <c r="F387" s="116">
        <v>40</v>
      </c>
      <c r="G387" s="117">
        <v>14605.7</v>
      </c>
      <c r="H387" s="116">
        <v>0</v>
      </c>
      <c r="I387" s="116" t="s">
        <v>322</v>
      </c>
      <c r="J387" s="117">
        <v>0</v>
      </c>
      <c r="K387" s="117">
        <v>0</v>
      </c>
      <c r="L387" s="117">
        <v>0</v>
      </c>
      <c r="M387" s="117">
        <v>0</v>
      </c>
      <c r="N387" s="117">
        <v>0</v>
      </c>
      <c r="O387" s="117">
        <v>5192.0600000000004</v>
      </c>
      <c r="P387" s="109">
        <v>3131.61</v>
      </c>
      <c r="Q387" s="109">
        <v>2117.87</v>
      </c>
      <c r="R387" s="109">
        <v>14548.28</v>
      </c>
    </row>
    <row r="388" spans="1:18" x14ac:dyDescent="0.3">
      <c r="A388" s="116" t="s">
        <v>371</v>
      </c>
      <c r="B388" s="116" t="s">
        <v>322</v>
      </c>
      <c r="C388" s="116"/>
      <c r="D388" s="116" t="s">
        <v>399</v>
      </c>
      <c r="E388" s="116" t="s">
        <v>408</v>
      </c>
      <c r="F388" s="116">
        <v>40</v>
      </c>
      <c r="G388" s="117">
        <v>8783.26</v>
      </c>
      <c r="H388" s="116">
        <v>0</v>
      </c>
      <c r="I388" s="116" t="s">
        <v>322</v>
      </c>
      <c r="J388" s="117">
        <v>0</v>
      </c>
      <c r="K388" s="117">
        <v>0</v>
      </c>
      <c r="L388" s="117">
        <v>0</v>
      </c>
      <c r="M388" s="117">
        <v>0</v>
      </c>
      <c r="N388" s="117">
        <v>0</v>
      </c>
      <c r="O388" s="117">
        <v>0</v>
      </c>
      <c r="P388" s="109">
        <v>1152.07</v>
      </c>
      <c r="Q388" s="109">
        <v>1186.28</v>
      </c>
      <c r="R388" s="109">
        <v>6444.91</v>
      </c>
    </row>
    <row r="389" spans="1:18" x14ac:dyDescent="0.3">
      <c r="A389" s="116" t="s">
        <v>371</v>
      </c>
      <c r="B389" s="116" t="s">
        <v>322</v>
      </c>
      <c r="C389" s="116"/>
      <c r="D389" s="116" t="s">
        <v>399</v>
      </c>
      <c r="E389" s="116" t="s">
        <v>457</v>
      </c>
      <c r="F389" s="116">
        <v>40</v>
      </c>
      <c r="G389" s="117">
        <v>14051.6</v>
      </c>
      <c r="H389" s="116">
        <v>0</v>
      </c>
      <c r="I389" s="116" t="s">
        <v>322</v>
      </c>
      <c r="J389" s="117">
        <v>0</v>
      </c>
      <c r="K389" s="117">
        <v>0</v>
      </c>
      <c r="L389" s="117">
        <v>0</v>
      </c>
      <c r="M389" s="117">
        <v>0</v>
      </c>
      <c r="N389" s="117">
        <v>0</v>
      </c>
      <c r="O389" s="117">
        <v>5103.41</v>
      </c>
      <c r="P389" s="109">
        <v>2979.23</v>
      </c>
      <c r="Q389" s="109">
        <v>2029.22</v>
      </c>
      <c r="R389" s="109">
        <v>14146.56</v>
      </c>
    </row>
    <row r="390" spans="1:18" x14ac:dyDescent="0.3">
      <c r="A390" s="116" t="s">
        <v>371</v>
      </c>
      <c r="B390" s="116" t="s">
        <v>322</v>
      </c>
      <c r="C390" s="116"/>
      <c r="D390" s="116" t="s">
        <v>399</v>
      </c>
      <c r="E390" s="116" t="s">
        <v>504</v>
      </c>
      <c r="F390" s="116">
        <v>40</v>
      </c>
      <c r="G390" s="117">
        <v>9838.41</v>
      </c>
      <c r="H390" s="116">
        <v>0</v>
      </c>
      <c r="I390" s="116" t="s">
        <v>322</v>
      </c>
      <c r="J390" s="117">
        <v>0</v>
      </c>
      <c r="K390" s="117">
        <v>0</v>
      </c>
      <c r="L390" s="117">
        <v>0</v>
      </c>
      <c r="M390" s="117">
        <v>0</v>
      </c>
      <c r="N390" s="117">
        <v>0</v>
      </c>
      <c r="O390" s="117">
        <v>3366.96</v>
      </c>
      <c r="P390" s="109">
        <v>1447.95</v>
      </c>
      <c r="Q390" s="109">
        <v>1355.11</v>
      </c>
      <c r="R390" s="109">
        <v>10402.31</v>
      </c>
    </row>
    <row r="391" spans="1:18" x14ac:dyDescent="0.3">
      <c r="A391" s="116" t="s">
        <v>371</v>
      </c>
      <c r="B391" s="116" t="s">
        <v>322</v>
      </c>
      <c r="C391" s="116"/>
      <c r="D391" s="116" t="s">
        <v>399</v>
      </c>
      <c r="E391" s="116" t="s">
        <v>466</v>
      </c>
      <c r="F391" s="116">
        <v>40</v>
      </c>
      <c r="G391" s="117">
        <v>11045.89</v>
      </c>
      <c r="H391" s="116">
        <v>0</v>
      </c>
      <c r="I391" s="116" t="s">
        <v>322</v>
      </c>
      <c r="J391" s="117">
        <v>0</v>
      </c>
      <c r="K391" s="117">
        <v>0</v>
      </c>
      <c r="L391" s="117">
        <v>0</v>
      </c>
      <c r="M391" s="117">
        <v>0</v>
      </c>
      <c r="N391" s="117">
        <v>0</v>
      </c>
      <c r="O391" s="117">
        <v>1903.06</v>
      </c>
      <c r="P391" s="109">
        <v>1701.24</v>
      </c>
      <c r="Q391" s="109">
        <v>1402</v>
      </c>
      <c r="R391" s="109">
        <v>9845.7099999999991</v>
      </c>
    </row>
    <row r="392" spans="1:18" x14ac:dyDescent="0.3">
      <c r="A392" s="116" t="s">
        <v>371</v>
      </c>
      <c r="B392" s="116" t="s">
        <v>322</v>
      </c>
      <c r="C392" s="116"/>
      <c r="D392" s="116" t="s">
        <v>399</v>
      </c>
      <c r="E392" s="116" t="s">
        <v>437</v>
      </c>
      <c r="F392" s="116">
        <v>40</v>
      </c>
      <c r="G392" s="117">
        <v>8776.34</v>
      </c>
      <c r="H392" s="116">
        <v>0</v>
      </c>
      <c r="I392" s="116" t="s">
        <v>322</v>
      </c>
      <c r="J392" s="117">
        <v>0</v>
      </c>
      <c r="K392" s="117">
        <v>0</v>
      </c>
      <c r="L392" s="117">
        <v>0</v>
      </c>
      <c r="M392" s="117">
        <v>0</v>
      </c>
      <c r="N392" s="117">
        <v>0</v>
      </c>
      <c r="O392" s="117">
        <v>3366.96</v>
      </c>
      <c r="P392" s="109">
        <v>1236.71</v>
      </c>
      <c r="Q392" s="109">
        <v>1061.19</v>
      </c>
      <c r="R392" s="109">
        <v>9845.4</v>
      </c>
    </row>
    <row r="393" spans="1:18" x14ac:dyDescent="0.3">
      <c r="A393" s="116" t="s">
        <v>371</v>
      </c>
      <c r="B393" s="116" t="s">
        <v>322</v>
      </c>
      <c r="C393" s="116"/>
      <c r="D393" s="116" t="s">
        <v>399</v>
      </c>
      <c r="E393" s="116" t="s">
        <v>531</v>
      </c>
      <c r="F393" s="116">
        <v>40</v>
      </c>
      <c r="G393" s="117">
        <v>9215.51</v>
      </c>
      <c r="H393" s="116">
        <v>0</v>
      </c>
      <c r="I393" s="116" t="s">
        <v>322</v>
      </c>
      <c r="J393" s="117">
        <v>0</v>
      </c>
      <c r="K393" s="117">
        <v>0</v>
      </c>
      <c r="L393" s="117">
        <v>0</v>
      </c>
      <c r="M393" s="117">
        <v>0</v>
      </c>
      <c r="N393" s="117">
        <v>0</v>
      </c>
      <c r="O393" s="117">
        <v>1812.08</v>
      </c>
      <c r="P393" s="109">
        <v>1359.85</v>
      </c>
      <c r="Q393" s="109">
        <v>673.37</v>
      </c>
      <c r="R393" s="109">
        <v>8994.3700000000008</v>
      </c>
    </row>
    <row r="394" spans="1:18" x14ac:dyDescent="0.3">
      <c r="A394" s="116" t="s">
        <v>371</v>
      </c>
      <c r="B394" s="116" t="s">
        <v>322</v>
      </c>
      <c r="C394" s="116"/>
      <c r="D394" s="116" t="s">
        <v>399</v>
      </c>
      <c r="E394" s="116" t="s">
        <v>458</v>
      </c>
      <c r="F394" s="116">
        <v>40</v>
      </c>
      <c r="G394" s="117">
        <v>7676.79</v>
      </c>
      <c r="H394" s="116">
        <v>0</v>
      </c>
      <c r="I394" s="116" t="s">
        <v>322</v>
      </c>
      <c r="J394" s="117">
        <v>2558.9299999999998</v>
      </c>
      <c r="K394" s="117">
        <v>0</v>
      </c>
      <c r="L394" s="117">
        <v>0</v>
      </c>
      <c r="M394" s="117">
        <v>0</v>
      </c>
      <c r="N394" s="117">
        <v>0</v>
      </c>
      <c r="O394" s="117">
        <v>585.55999999999995</v>
      </c>
      <c r="P394" s="109">
        <v>982.13</v>
      </c>
      <c r="Q394" s="109">
        <v>1009.25</v>
      </c>
      <c r="R394" s="109">
        <v>8829.9</v>
      </c>
    </row>
    <row r="395" spans="1:18" x14ac:dyDescent="0.3">
      <c r="A395" s="116" t="s">
        <v>371</v>
      </c>
      <c r="B395" s="116" t="s">
        <v>322</v>
      </c>
      <c r="C395" s="116"/>
      <c r="D395" s="116" t="s">
        <v>399</v>
      </c>
      <c r="E395" s="116" t="s">
        <v>432</v>
      </c>
      <c r="F395" s="116">
        <v>40</v>
      </c>
      <c r="G395" s="117">
        <v>7696.16</v>
      </c>
      <c r="H395" s="116">
        <v>0</v>
      </c>
      <c r="I395" s="116" t="s">
        <v>322</v>
      </c>
      <c r="J395" s="117">
        <v>0</v>
      </c>
      <c r="K395" s="117">
        <v>0</v>
      </c>
      <c r="L395" s="117">
        <v>0</v>
      </c>
      <c r="M395" s="117">
        <v>0</v>
      </c>
      <c r="N395" s="117">
        <v>0</v>
      </c>
      <c r="O395" s="117">
        <v>1285.44</v>
      </c>
      <c r="P395" s="109">
        <v>944.27</v>
      </c>
      <c r="Q395" s="109">
        <v>1012.35</v>
      </c>
      <c r="R395" s="109">
        <v>7024.98</v>
      </c>
    </row>
    <row r="396" spans="1:18" x14ac:dyDescent="0.3">
      <c r="A396" s="116" t="s">
        <v>371</v>
      </c>
      <c r="B396" s="116" t="s">
        <v>322</v>
      </c>
      <c r="C396" s="116" t="s">
        <v>369</v>
      </c>
      <c r="D396" s="116" t="s">
        <v>399</v>
      </c>
      <c r="E396" s="116" t="s">
        <v>402</v>
      </c>
      <c r="F396" s="116">
        <v>40</v>
      </c>
      <c r="G396" s="117">
        <v>11596.15</v>
      </c>
      <c r="H396" s="116">
        <v>0</v>
      </c>
      <c r="I396" s="116" t="s">
        <v>322</v>
      </c>
      <c r="J396" s="117">
        <v>0</v>
      </c>
      <c r="K396" s="117">
        <v>0</v>
      </c>
      <c r="L396" s="117">
        <v>0</v>
      </c>
      <c r="M396" s="117">
        <v>0</v>
      </c>
      <c r="N396" s="117">
        <v>0</v>
      </c>
      <c r="O396" s="117">
        <v>2927.8</v>
      </c>
      <c r="P396" s="109">
        <v>2093.21</v>
      </c>
      <c r="Q396" s="109">
        <v>766.43</v>
      </c>
      <c r="R396" s="109">
        <v>11664.31</v>
      </c>
    </row>
    <row r="397" spans="1:18" x14ac:dyDescent="0.3">
      <c r="A397" s="116" t="s">
        <v>371</v>
      </c>
      <c r="B397" s="116" t="s">
        <v>322</v>
      </c>
      <c r="C397" s="116"/>
      <c r="D397" s="116" t="s">
        <v>399</v>
      </c>
      <c r="E397" s="116" t="s">
        <v>502</v>
      </c>
      <c r="F397" s="116">
        <v>40</v>
      </c>
      <c r="G397" s="117">
        <v>11072.56</v>
      </c>
      <c r="H397" s="116">
        <v>0</v>
      </c>
      <c r="I397" s="116" t="s">
        <v>322</v>
      </c>
      <c r="J397" s="117">
        <v>0</v>
      </c>
      <c r="K397" s="117">
        <v>0</v>
      </c>
      <c r="L397" s="117">
        <v>0</v>
      </c>
      <c r="M397" s="117">
        <v>0</v>
      </c>
      <c r="N397" s="117">
        <v>0</v>
      </c>
      <c r="O397" s="117">
        <v>2851.48</v>
      </c>
      <c r="P397" s="109">
        <v>1671.77</v>
      </c>
      <c r="Q397" s="109">
        <v>1406.27</v>
      </c>
      <c r="R397" s="109">
        <v>10846</v>
      </c>
    </row>
    <row r="398" spans="1:18" x14ac:dyDescent="0.3">
      <c r="A398" s="116" t="s">
        <v>371</v>
      </c>
      <c r="B398" s="116" t="s">
        <v>322</v>
      </c>
      <c r="C398" s="116"/>
      <c r="D398" s="116" t="s">
        <v>399</v>
      </c>
      <c r="E398" s="116" t="s">
        <v>532</v>
      </c>
      <c r="F398" s="116">
        <v>40</v>
      </c>
      <c r="G398" s="117">
        <v>11200.24</v>
      </c>
      <c r="H398" s="116">
        <v>0</v>
      </c>
      <c r="I398" s="116" t="s">
        <v>322</v>
      </c>
      <c r="J398" s="117">
        <v>0</v>
      </c>
      <c r="K398" s="117">
        <v>0</v>
      </c>
      <c r="L398" s="117">
        <v>0</v>
      </c>
      <c r="M398" s="117">
        <v>0</v>
      </c>
      <c r="N398" s="117">
        <v>0</v>
      </c>
      <c r="O398" s="117">
        <v>2342.23</v>
      </c>
      <c r="P398" s="109">
        <v>976.8</v>
      </c>
      <c r="Q398" s="109">
        <v>1422.31</v>
      </c>
      <c r="R398" s="109">
        <v>11143.36</v>
      </c>
    </row>
    <row r="399" spans="1:18" x14ac:dyDescent="0.3">
      <c r="A399" s="116" t="s">
        <v>371</v>
      </c>
      <c r="B399" s="116" t="s">
        <v>322</v>
      </c>
      <c r="C399" s="116"/>
      <c r="D399" s="116" t="s">
        <v>399</v>
      </c>
      <c r="E399" s="116" t="s">
        <v>533</v>
      </c>
      <c r="F399" s="116">
        <v>40</v>
      </c>
      <c r="G399" s="117">
        <v>10395.959999999999</v>
      </c>
      <c r="H399" s="116">
        <v>0</v>
      </c>
      <c r="I399" s="116" t="s">
        <v>322</v>
      </c>
      <c r="J399" s="117">
        <v>0</v>
      </c>
      <c r="K399" s="117">
        <v>0</v>
      </c>
      <c r="L399" s="117">
        <v>0</v>
      </c>
      <c r="M399" s="117">
        <v>0</v>
      </c>
      <c r="N399" s="117">
        <v>0</v>
      </c>
      <c r="O399" s="117">
        <v>2342.23</v>
      </c>
      <c r="P399" s="109">
        <v>1566.04</v>
      </c>
      <c r="Q399" s="109">
        <v>1293.6300000000001</v>
      </c>
      <c r="R399" s="109">
        <v>9878.52</v>
      </c>
    </row>
    <row r="400" spans="1:18" x14ac:dyDescent="0.3">
      <c r="A400" s="116" t="s">
        <v>371</v>
      </c>
      <c r="B400" s="116" t="s">
        <v>322</v>
      </c>
      <c r="C400" s="116"/>
      <c r="D400" s="116" t="s">
        <v>399</v>
      </c>
      <c r="E400" s="116" t="s">
        <v>432</v>
      </c>
      <c r="F400" s="116">
        <v>40</v>
      </c>
      <c r="G400" s="117">
        <v>4717.25</v>
      </c>
      <c r="H400" s="116">
        <v>0</v>
      </c>
      <c r="I400" s="116" t="s">
        <v>322</v>
      </c>
      <c r="J400" s="117">
        <v>0</v>
      </c>
      <c r="K400" s="117">
        <v>0</v>
      </c>
      <c r="L400" s="117">
        <v>0</v>
      </c>
      <c r="M400" s="117">
        <v>0</v>
      </c>
      <c r="N400" s="117">
        <v>0</v>
      </c>
      <c r="O400" s="117">
        <v>3111.99</v>
      </c>
      <c r="P400" s="109">
        <v>290.85000000000002</v>
      </c>
      <c r="Q400" s="109">
        <v>486.35</v>
      </c>
      <c r="R400" s="109">
        <v>7052.04</v>
      </c>
    </row>
    <row r="401" spans="1:18" x14ac:dyDescent="0.3">
      <c r="A401" s="116" t="s">
        <v>371</v>
      </c>
      <c r="B401" s="116" t="s">
        <v>322</v>
      </c>
      <c r="C401" s="116"/>
      <c r="D401" s="116" t="s">
        <v>399</v>
      </c>
      <c r="E401" s="116" t="s">
        <v>472</v>
      </c>
      <c r="F401" s="116">
        <v>40</v>
      </c>
      <c r="G401" s="117">
        <v>11185.88</v>
      </c>
      <c r="H401" s="116">
        <v>0</v>
      </c>
      <c r="I401" s="116" t="s">
        <v>322</v>
      </c>
      <c r="J401" s="117">
        <v>0</v>
      </c>
      <c r="K401" s="117">
        <v>0</v>
      </c>
      <c r="L401" s="117">
        <v>0</v>
      </c>
      <c r="M401" s="117">
        <v>0</v>
      </c>
      <c r="N401" s="117">
        <v>0</v>
      </c>
      <c r="O401" s="117">
        <v>3366.96</v>
      </c>
      <c r="P401" s="109">
        <v>1748.52</v>
      </c>
      <c r="Q401" s="109">
        <v>1420.01</v>
      </c>
      <c r="R401" s="109">
        <v>11384.31</v>
      </c>
    </row>
    <row r="402" spans="1:18" x14ac:dyDescent="0.3">
      <c r="A402" s="116" t="s">
        <v>371</v>
      </c>
      <c r="B402" s="116" t="s">
        <v>322</v>
      </c>
      <c r="C402" s="116"/>
      <c r="D402" s="116" t="s">
        <v>399</v>
      </c>
      <c r="E402" s="116" t="s">
        <v>534</v>
      </c>
      <c r="F402" s="116">
        <v>40</v>
      </c>
      <c r="G402" s="117">
        <v>7688.96</v>
      </c>
      <c r="H402" s="116">
        <v>0</v>
      </c>
      <c r="I402" s="116" t="s">
        <v>322</v>
      </c>
      <c r="J402" s="117">
        <v>0</v>
      </c>
      <c r="K402" s="117">
        <v>0</v>
      </c>
      <c r="L402" s="117">
        <v>0</v>
      </c>
      <c r="M402" s="117">
        <v>0</v>
      </c>
      <c r="N402" s="117">
        <v>0</v>
      </c>
      <c r="O402" s="117">
        <v>3074.19</v>
      </c>
      <c r="P402" s="109">
        <v>951.43</v>
      </c>
      <c r="Q402" s="109">
        <v>1011.19</v>
      </c>
      <c r="R402" s="109">
        <v>8800.5300000000007</v>
      </c>
    </row>
    <row r="403" spans="1:18" x14ac:dyDescent="0.3">
      <c r="A403" s="116" t="s">
        <v>371</v>
      </c>
      <c r="B403" s="116" t="s">
        <v>322</v>
      </c>
      <c r="C403" s="116"/>
      <c r="D403" s="116" t="s">
        <v>399</v>
      </c>
      <c r="E403" s="116" t="s">
        <v>535</v>
      </c>
      <c r="F403" s="116">
        <v>40</v>
      </c>
      <c r="G403" s="117">
        <v>10314.530000000001</v>
      </c>
      <c r="H403" s="116">
        <v>0</v>
      </c>
      <c r="I403" s="116" t="s">
        <v>322</v>
      </c>
      <c r="J403" s="117">
        <v>3438.18</v>
      </c>
      <c r="K403" s="117">
        <v>0</v>
      </c>
      <c r="L403" s="117">
        <v>0</v>
      </c>
      <c r="M403" s="117">
        <v>0</v>
      </c>
      <c r="N403" s="117">
        <v>0</v>
      </c>
      <c r="O403" s="117">
        <v>3366.96</v>
      </c>
      <c r="P403" s="109">
        <v>1744.7</v>
      </c>
      <c r="Q403" s="109">
        <v>1280.5999999999999</v>
      </c>
      <c r="R403" s="109">
        <v>14094.37</v>
      </c>
    </row>
    <row r="404" spans="1:18" x14ac:dyDescent="0.3">
      <c r="A404" s="116" t="s">
        <v>371</v>
      </c>
      <c r="B404" s="116" t="s">
        <v>322</v>
      </c>
      <c r="C404" s="116"/>
      <c r="D404" s="116" t="s">
        <v>399</v>
      </c>
      <c r="E404" s="116" t="s">
        <v>536</v>
      </c>
      <c r="F404" s="116">
        <v>40</v>
      </c>
      <c r="G404" s="117">
        <v>11235.1</v>
      </c>
      <c r="H404" s="116">
        <v>0</v>
      </c>
      <c r="I404" s="116" t="s">
        <v>322</v>
      </c>
      <c r="J404" s="117">
        <v>0</v>
      </c>
      <c r="K404" s="117">
        <v>0</v>
      </c>
      <c r="L404" s="117">
        <v>0</v>
      </c>
      <c r="M404" s="117">
        <v>0</v>
      </c>
      <c r="N404" s="117">
        <v>0</v>
      </c>
      <c r="O404" s="117">
        <v>1756.67</v>
      </c>
      <c r="P404" s="109">
        <v>1702.48</v>
      </c>
      <c r="Q404" s="109">
        <v>1447.04</v>
      </c>
      <c r="R404" s="109">
        <v>9842.25</v>
      </c>
    </row>
    <row r="405" spans="1:18" x14ac:dyDescent="0.3">
      <c r="A405" s="116" t="s">
        <v>371</v>
      </c>
      <c r="B405" s="116" t="s">
        <v>322</v>
      </c>
      <c r="C405" s="116"/>
      <c r="D405" s="116" t="s">
        <v>399</v>
      </c>
      <c r="E405" s="116" t="s">
        <v>535</v>
      </c>
      <c r="F405" s="116">
        <v>40</v>
      </c>
      <c r="G405" s="117">
        <v>9834.26</v>
      </c>
      <c r="H405" s="116">
        <v>0</v>
      </c>
      <c r="I405" s="116" t="s">
        <v>322</v>
      </c>
      <c r="J405" s="117">
        <v>0</v>
      </c>
      <c r="K405" s="117">
        <v>0</v>
      </c>
      <c r="L405" s="117">
        <v>0</v>
      </c>
      <c r="M405" s="117">
        <v>0</v>
      </c>
      <c r="N405" s="117">
        <v>0</v>
      </c>
      <c r="O405" s="117">
        <v>2195.84</v>
      </c>
      <c r="P405" s="109">
        <v>852.04</v>
      </c>
      <c r="Q405" s="109">
        <v>1354.44</v>
      </c>
      <c r="R405" s="109">
        <v>9823.6200000000008</v>
      </c>
    </row>
    <row r="406" spans="1:18" x14ac:dyDescent="0.3">
      <c r="A406" s="116" t="s">
        <v>371</v>
      </c>
      <c r="B406" s="116" t="s">
        <v>322</v>
      </c>
      <c r="C406" s="116"/>
      <c r="D406" s="116" t="s">
        <v>399</v>
      </c>
      <c r="E406" s="116" t="s">
        <v>531</v>
      </c>
      <c r="F406" s="116">
        <v>40</v>
      </c>
      <c r="G406" s="117">
        <v>11269.49</v>
      </c>
      <c r="H406" s="116">
        <v>0</v>
      </c>
      <c r="I406" s="116" t="s">
        <v>322</v>
      </c>
      <c r="J406" s="117">
        <v>0</v>
      </c>
      <c r="K406" s="117">
        <v>0</v>
      </c>
      <c r="L406" s="117">
        <v>0</v>
      </c>
      <c r="M406" s="117">
        <v>0</v>
      </c>
      <c r="N406" s="117">
        <v>0</v>
      </c>
      <c r="O406" s="117">
        <v>2488.62</v>
      </c>
      <c r="P406" s="109">
        <v>1756.9</v>
      </c>
      <c r="Q406" s="109">
        <v>1283.56</v>
      </c>
      <c r="R406" s="109">
        <v>10717.65</v>
      </c>
    </row>
    <row r="407" spans="1:18" x14ac:dyDescent="0.3">
      <c r="A407" s="116" t="s">
        <v>371</v>
      </c>
      <c r="B407" s="116" t="s">
        <v>322</v>
      </c>
      <c r="C407" s="116"/>
      <c r="D407" s="116" t="s">
        <v>399</v>
      </c>
      <c r="E407" s="116" t="s">
        <v>446</v>
      </c>
      <c r="F407" s="116">
        <v>40</v>
      </c>
      <c r="G407" s="117">
        <v>10234.33</v>
      </c>
      <c r="H407" s="116">
        <v>0</v>
      </c>
      <c r="I407" s="116" t="s">
        <v>322</v>
      </c>
      <c r="J407" s="117">
        <v>0</v>
      </c>
      <c r="K407" s="117">
        <v>0</v>
      </c>
      <c r="L407" s="117">
        <v>0</v>
      </c>
      <c r="M407" s="117">
        <v>0</v>
      </c>
      <c r="N407" s="117">
        <v>0</v>
      </c>
      <c r="O407" s="117">
        <v>1903.06</v>
      </c>
      <c r="P407" s="109">
        <v>1435.13</v>
      </c>
      <c r="Q407" s="109">
        <v>1418.45</v>
      </c>
      <c r="R407" s="109">
        <v>9283.81</v>
      </c>
    </row>
    <row r="408" spans="1:18" x14ac:dyDescent="0.3">
      <c r="A408" s="116" t="s">
        <v>371</v>
      </c>
      <c r="B408" s="116" t="s">
        <v>322</v>
      </c>
      <c r="C408" s="116"/>
      <c r="D408" s="116" t="s">
        <v>399</v>
      </c>
      <c r="E408" s="116" t="s">
        <v>462</v>
      </c>
      <c r="F408" s="116">
        <v>40</v>
      </c>
      <c r="G408" s="117">
        <v>7694.11</v>
      </c>
      <c r="H408" s="116">
        <v>0</v>
      </c>
      <c r="I408" s="116" t="s">
        <v>322</v>
      </c>
      <c r="J408" s="117">
        <v>0</v>
      </c>
      <c r="K408" s="117">
        <v>0</v>
      </c>
      <c r="L408" s="117">
        <v>0</v>
      </c>
      <c r="M408" s="117">
        <v>0</v>
      </c>
      <c r="N408" s="117">
        <v>0</v>
      </c>
      <c r="O408" s="117">
        <v>3074.19</v>
      </c>
      <c r="P408" s="109">
        <v>952.62</v>
      </c>
      <c r="Q408" s="109">
        <v>1012.02</v>
      </c>
      <c r="R408" s="109">
        <v>8803.66</v>
      </c>
    </row>
    <row r="409" spans="1:18" x14ac:dyDescent="0.3">
      <c r="A409" s="116" t="s">
        <v>371</v>
      </c>
      <c r="B409" s="116" t="s">
        <v>322</v>
      </c>
      <c r="C409" s="116"/>
      <c r="D409" s="116" t="s">
        <v>399</v>
      </c>
      <c r="E409" s="116" t="s">
        <v>466</v>
      </c>
      <c r="F409" s="116">
        <v>40</v>
      </c>
      <c r="G409" s="117">
        <v>11181.59</v>
      </c>
      <c r="H409" s="116">
        <v>0</v>
      </c>
      <c r="I409" s="116" t="s">
        <v>322</v>
      </c>
      <c r="J409" s="117">
        <v>0</v>
      </c>
      <c r="K409" s="117">
        <v>0</v>
      </c>
      <c r="L409" s="117">
        <v>0</v>
      </c>
      <c r="M409" s="117">
        <v>0</v>
      </c>
      <c r="N409" s="117">
        <v>0</v>
      </c>
      <c r="O409" s="117">
        <v>3513.35</v>
      </c>
      <c r="P409" s="109">
        <v>1979</v>
      </c>
      <c r="Q409" s="109">
        <v>767.18</v>
      </c>
      <c r="R409" s="109">
        <v>11948.76</v>
      </c>
    </row>
    <row r="410" spans="1:18" x14ac:dyDescent="0.3">
      <c r="A410" s="116" t="s">
        <v>537</v>
      </c>
      <c r="B410" s="116" t="s">
        <v>322</v>
      </c>
      <c r="C410" s="116"/>
      <c r="D410" s="116" t="s">
        <v>399</v>
      </c>
      <c r="E410" s="116" t="s">
        <v>457</v>
      </c>
      <c r="F410" s="116">
        <v>30</v>
      </c>
      <c r="G410" s="117">
        <v>2671.51</v>
      </c>
      <c r="H410" s="116">
        <v>0</v>
      </c>
      <c r="I410" s="116" t="s">
        <v>322</v>
      </c>
      <c r="J410" s="117">
        <v>0</v>
      </c>
      <c r="K410" s="117">
        <v>0</v>
      </c>
      <c r="L410" s="117">
        <v>0</v>
      </c>
      <c r="M410" s="117">
        <v>0</v>
      </c>
      <c r="N410" s="117">
        <v>0</v>
      </c>
      <c r="O410" s="117">
        <v>2654.18</v>
      </c>
      <c r="P410" s="109">
        <v>0</v>
      </c>
      <c r="Q410" s="109">
        <v>302.12</v>
      </c>
      <c r="R410" s="109">
        <v>5023.57</v>
      </c>
    </row>
    <row r="411" spans="1:18" x14ac:dyDescent="0.3">
      <c r="A411" s="116" t="s">
        <v>537</v>
      </c>
      <c r="B411" s="116" t="s">
        <v>322</v>
      </c>
      <c r="C411" s="116"/>
      <c r="D411" s="116" t="s">
        <v>399</v>
      </c>
      <c r="E411" s="116" t="s">
        <v>449</v>
      </c>
      <c r="F411" s="116">
        <v>30</v>
      </c>
      <c r="G411" s="117">
        <v>3809.72</v>
      </c>
      <c r="H411" s="116">
        <v>0</v>
      </c>
      <c r="I411" s="116" t="s">
        <v>322</v>
      </c>
      <c r="J411" s="117">
        <v>0</v>
      </c>
      <c r="K411" s="117">
        <v>0</v>
      </c>
      <c r="L411" s="117">
        <v>0</v>
      </c>
      <c r="M411" s="117">
        <v>0</v>
      </c>
      <c r="N411" s="117">
        <v>0</v>
      </c>
      <c r="O411" s="117">
        <v>3028.15</v>
      </c>
      <c r="P411" s="109">
        <v>188.77</v>
      </c>
      <c r="Q411" s="109">
        <v>446.04</v>
      </c>
      <c r="R411" s="109">
        <v>6203.06</v>
      </c>
    </row>
    <row r="412" spans="1:18" x14ac:dyDescent="0.3">
      <c r="A412" s="116" t="s">
        <v>537</v>
      </c>
      <c r="B412" s="116" t="s">
        <v>322</v>
      </c>
      <c r="C412" s="116"/>
      <c r="D412" s="116" t="s">
        <v>399</v>
      </c>
      <c r="E412" s="116" t="s">
        <v>470</v>
      </c>
      <c r="F412" s="116">
        <v>30</v>
      </c>
      <c r="G412" s="117">
        <v>3275.68</v>
      </c>
      <c r="H412" s="116">
        <v>0</v>
      </c>
      <c r="I412" s="116" t="s">
        <v>322</v>
      </c>
      <c r="J412" s="117">
        <v>0</v>
      </c>
      <c r="K412" s="117">
        <v>0</v>
      </c>
      <c r="L412" s="117">
        <v>0</v>
      </c>
      <c r="M412" s="117">
        <v>0</v>
      </c>
      <c r="N412" s="117">
        <v>0</v>
      </c>
      <c r="O412" s="117">
        <v>2576.67</v>
      </c>
      <c r="P412" s="109">
        <v>47.68</v>
      </c>
      <c r="Q412" s="109">
        <v>376.62</v>
      </c>
      <c r="R412" s="109">
        <v>5428.05</v>
      </c>
    </row>
    <row r="413" spans="1:18" x14ac:dyDescent="0.3">
      <c r="A413" s="116" t="s">
        <v>537</v>
      </c>
      <c r="B413" s="116" t="s">
        <v>322</v>
      </c>
      <c r="C413" s="116"/>
      <c r="D413" s="116" t="s">
        <v>399</v>
      </c>
      <c r="E413" s="116" t="s">
        <v>538</v>
      </c>
      <c r="F413" s="116">
        <v>30</v>
      </c>
      <c r="G413" s="117">
        <v>2964.04</v>
      </c>
      <c r="H413" s="116">
        <v>0</v>
      </c>
      <c r="I413" s="116" t="s">
        <v>322</v>
      </c>
      <c r="J413" s="117">
        <v>0</v>
      </c>
      <c r="K413" s="117">
        <v>0</v>
      </c>
      <c r="L413" s="117">
        <v>0</v>
      </c>
      <c r="M413" s="117">
        <v>0</v>
      </c>
      <c r="N413" s="117">
        <v>0</v>
      </c>
      <c r="O413" s="117">
        <v>1449.77</v>
      </c>
      <c r="P413" s="109">
        <v>24.3</v>
      </c>
      <c r="Q413" s="109">
        <v>337.22</v>
      </c>
      <c r="R413" s="109">
        <v>4052.29</v>
      </c>
    </row>
    <row r="414" spans="1:18" x14ac:dyDescent="0.3">
      <c r="A414" s="116" t="s">
        <v>341</v>
      </c>
      <c r="B414" s="116" t="s">
        <v>322</v>
      </c>
      <c r="C414" s="116" t="s">
        <v>499</v>
      </c>
      <c r="D414" s="116" t="s">
        <v>399</v>
      </c>
      <c r="E414" s="116" t="s">
        <v>448</v>
      </c>
      <c r="F414" s="116">
        <v>40</v>
      </c>
      <c r="G414" s="117">
        <v>12291.87</v>
      </c>
      <c r="H414" s="116">
        <v>0</v>
      </c>
      <c r="I414" s="116" t="s">
        <v>322</v>
      </c>
      <c r="J414" s="117">
        <v>0</v>
      </c>
      <c r="K414" s="117">
        <v>0</v>
      </c>
      <c r="L414" s="117">
        <v>0</v>
      </c>
      <c r="M414" s="117">
        <v>0</v>
      </c>
      <c r="N414" s="117">
        <v>0</v>
      </c>
      <c r="O414" s="117">
        <v>2565.36</v>
      </c>
      <c r="P414" s="109">
        <v>2225.21</v>
      </c>
      <c r="Q414" s="109">
        <v>982.16</v>
      </c>
      <c r="R414" s="109">
        <v>11649.86</v>
      </c>
    </row>
    <row r="415" spans="1:18" x14ac:dyDescent="0.3">
      <c r="A415" s="116" t="s">
        <v>341</v>
      </c>
      <c r="B415" s="116" t="s">
        <v>322</v>
      </c>
      <c r="C415" s="116" t="s">
        <v>451</v>
      </c>
      <c r="D415" s="116" t="s">
        <v>399</v>
      </c>
      <c r="E415" s="116" t="s">
        <v>448</v>
      </c>
      <c r="F415" s="116">
        <v>40</v>
      </c>
      <c r="G415" s="117">
        <v>25838.84</v>
      </c>
      <c r="H415" s="116">
        <v>0</v>
      </c>
      <c r="I415" s="116" t="s">
        <v>322</v>
      </c>
      <c r="J415" s="117">
        <v>0</v>
      </c>
      <c r="K415" s="117">
        <v>0</v>
      </c>
      <c r="L415" s="117">
        <v>0</v>
      </c>
      <c r="M415" s="117">
        <v>0</v>
      </c>
      <c r="N415" s="117">
        <v>0</v>
      </c>
      <c r="O415" s="117">
        <v>732.96</v>
      </c>
      <c r="P415" s="109">
        <v>5168.26</v>
      </c>
      <c r="Q415" s="109">
        <v>3827.13</v>
      </c>
      <c r="R415" s="109">
        <v>17576.41</v>
      </c>
    </row>
    <row r="416" spans="1:18" x14ac:dyDescent="0.3">
      <c r="A416" s="116" t="s">
        <v>341</v>
      </c>
      <c r="B416" s="116" t="s">
        <v>322</v>
      </c>
      <c r="C416" s="116" t="s">
        <v>369</v>
      </c>
      <c r="D416" s="116" t="s">
        <v>399</v>
      </c>
      <c r="E416" s="116" t="s">
        <v>473</v>
      </c>
      <c r="F416" s="116">
        <v>40</v>
      </c>
      <c r="G416" s="117">
        <v>13602.61</v>
      </c>
      <c r="H416" s="116">
        <v>0</v>
      </c>
      <c r="I416" s="116" t="s">
        <v>322</v>
      </c>
      <c r="J416" s="117">
        <v>0</v>
      </c>
      <c r="K416" s="117">
        <v>0</v>
      </c>
      <c r="L416" s="117">
        <v>0</v>
      </c>
      <c r="M416" s="117">
        <v>0</v>
      </c>
      <c r="N416" s="117">
        <v>0</v>
      </c>
      <c r="O416" s="117">
        <v>2565.36</v>
      </c>
      <c r="P416" s="109">
        <v>2412.08</v>
      </c>
      <c r="Q416" s="109">
        <v>1613.36</v>
      </c>
      <c r="R416" s="109">
        <v>12142.53</v>
      </c>
    </row>
    <row r="417" spans="1:18" x14ac:dyDescent="0.3">
      <c r="A417" s="116" t="s">
        <v>341</v>
      </c>
      <c r="B417" s="116" t="s">
        <v>322</v>
      </c>
      <c r="C417" s="116" t="s">
        <v>464</v>
      </c>
      <c r="D417" s="116" t="s">
        <v>399</v>
      </c>
      <c r="E417" s="116" t="s">
        <v>325</v>
      </c>
      <c r="F417" s="116">
        <v>40</v>
      </c>
      <c r="G417" s="117">
        <v>12450.39</v>
      </c>
      <c r="H417" s="116">
        <v>0</v>
      </c>
      <c r="I417" s="116" t="s">
        <v>322</v>
      </c>
      <c r="J417" s="117">
        <v>0</v>
      </c>
      <c r="K417" s="117">
        <v>0</v>
      </c>
      <c r="L417" s="117">
        <v>0</v>
      </c>
      <c r="M417" s="117">
        <v>0</v>
      </c>
      <c r="N417" s="117">
        <v>0</v>
      </c>
      <c r="O417" s="117">
        <v>1954.56</v>
      </c>
      <c r="P417" s="109">
        <v>2072.62</v>
      </c>
      <c r="Q417" s="109">
        <v>1695.54</v>
      </c>
      <c r="R417" s="109">
        <v>10636.79</v>
      </c>
    </row>
    <row r="418" spans="1:18" x14ac:dyDescent="0.3">
      <c r="A418" s="116" t="s">
        <v>341</v>
      </c>
      <c r="B418" s="116" t="s">
        <v>322</v>
      </c>
      <c r="C418" s="116"/>
      <c r="D418" s="116" t="s">
        <v>399</v>
      </c>
      <c r="E418" s="116" t="s">
        <v>325</v>
      </c>
      <c r="F418" s="116">
        <v>40</v>
      </c>
      <c r="G418" s="117">
        <v>29291.55</v>
      </c>
      <c r="H418" s="116">
        <v>0</v>
      </c>
      <c r="I418" s="116" t="s">
        <v>322</v>
      </c>
      <c r="J418" s="117">
        <v>0</v>
      </c>
      <c r="K418" s="117">
        <v>0</v>
      </c>
      <c r="L418" s="117">
        <v>0</v>
      </c>
      <c r="M418" s="117">
        <v>0</v>
      </c>
      <c r="N418" s="117">
        <v>0</v>
      </c>
      <c r="O418" s="117">
        <v>2565.36</v>
      </c>
      <c r="P418" s="109">
        <v>5889.49</v>
      </c>
      <c r="Q418" s="109">
        <v>4467.6099999999997</v>
      </c>
      <c r="R418" s="109">
        <v>21499.81</v>
      </c>
    </row>
    <row r="419" spans="1:18" x14ac:dyDescent="0.3">
      <c r="A419" s="116" t="s">
        <v>341</v>
      </c>
      <c r="B419" s="116" t="s">
        <v>322</v>
      </c>
      <c r="C419" s="116"/>
      <c r="D419" s="116" t="s">
        <v>399</v>
      </c>
      <c r="E419" s="116" t="s">
        <v>534</v>
      </c>
      <c r="F419" s="116">
        <v>40</v>
      </c>
      <c r="G419" s="117">
        <v>7786.26</v>
      </c>
      <c r="H419" s="116">
        <v>0</v>
      </c>
      <c r="I419" s="116" t="s">
        <v>322</v>
      </c>
      <c r="J419" s="117">
        <v>0</v>
      </c>
      <c r="K419" s="117">
        <v>0</v>
      </c>
      <c r="L419" s="117">
        <v>0</v>
      </c>
      <c r="M419" s="117">
        <v>0</v>
      </c>
      <c r="N419" s="117">
        <v>0</v>
      </c>
      <c r="O419" s="117">
        <v>2565.36</v>
      </c>
      <c r="P419" s="109">
        <v>986.17</v>
      </c>
      <c r="Q419" s="109">
        <v>982.16</v>
      </c>
      <c r="R419" s="109">
        <v>8383.2900000000009</v>
      </c>
    </row>
    <row r="420" spans="1:18" x14ac:dyDescent="0.3">
      <c r="A420" s="116" t="s">
        <v>341</v>
      </c>
      <c r="B420" s="116" t="s">
        <v>322</v>
      </c>
      <c r="C420" s="116"/>
      <c r="D420" s="116" t="s">
        <v>399</v>
      </c>
      <c r="E420" s="116" t="s">
        <v>496</v>
      </c>
      <c r="F420" s="116">
        <v>40</v>
      </c>
      <c r="G420" s="117">
        <v>20103.79</v>
      </c>
      <c r="H420" s="116">
        <v>0</v>
      </c>
      <c r="I420" s="116" t="s">
        <v>322</v>
      </c>
      <c r="J420" s="117">
        <v>0</v>
      </c>
      <c r="K420" s="117">
        <v>0</v>
      </c>
      <c r="L420" s="117">
        <v>0</v>
      </c>
      <c r="M420" s="117">
        <v>0</v>
      </c>
      <c r="N420" s="117">
        <v>0</v>
      </c>
      <c r="O420" s="117">
        <v>1343.76</v>
      </c>
      <c r="P420" s="109">
        <v>3891.2</v>
      </c>
      <c r="Q420" s="109">
        <v>2735.95</v>
      </c>
      <c r="R420" s="109">
        <v>14820.4</v>
      </c>
    </row>
    <row r="421" spans="1:18" x14ac:dyDescent="0.3">
      <c r="A421" s="116" t="s">
        <v>341</v>
      </c>
      <c r="B421" s="116" t="s">
        <v>322</v>
      </c>
      <c r="C421" s="116"/>
      <c r="D421" s="116" t="s">
        <v>399</v>
      </c>
      <c r="E421" s="116" t="s">
        <v>325</v>
      </c>
      <c r="F421" s="116">
        <v>40</v>
      </c>
      <c r="G421" s="117">
        <v>11184.08</v>
      </c>
      <c r="H421" s="116">
        <v>0</v>
      </c>
      <c r="I421" s="116" t="s">
        <v>322</v>
      </c>
      <c r="J421" s="117">
        <v>0</v>
      </c>
      <c r="K421" s="117">
        <v>0</v>
      </c>
      <c r="L421" s="117">
        <v>0</v>
      </c>
      <c r="M421" s="117">
        <v>0</v>
      </c>
      <c r="N421" s="117">
        <v>0</v>
      </c>
      <c r="O421" s="117">
        <v>2565.36</v>
      </c>
      <c r="P421" s="109">
        <v>1920.57</v>
      </c>
      <c r="Q421" s="109">
        <v>982.16</v>
      </c>
      <c r="R421" s="109">
        <v>10846.71</v>
      </c>
    </row>
    <row r="422" spans="1:18" x14ac:dyDescent="0.3">
      <c r="A422" s="116" t="s">
        <v>341</v>
      </c>
      <c r="B422" s="116" t="s">
        <v>322</v>
      </c>
      <c r="C422" s="116"/>
      <c r="D422" s="116" t="s">
        <v>399</v>
      </c>
      <c r="E422" s="116" t="s">
        <v>417</v>
      </c>
      <c r="F422" s="116">
        <v>40</v>
      </c>
      <c r="G422" s="117">
        <v>19195.59</v>
      </c>
      <c r="H422" s="116">
        <v>0</v>
      </c>
      <c r="I422" s="116" t="s">
        <v>322</v>
      </c>
      <c r="J422" s="117">
        <v>0</v>
      </c>
      <c r="K422" s="117">
        <v>0</v>
      </c>
      <c r="L422" s="117">
        <v>0</v>
      </c>
      <c r="M422" s="117">
        <v>0</v>
      </c>
      <c r="N422" s="117">
        <v>0</v>
      </c>
      <c r="O422" s="117">
        <v>2809.68</v>
      </c>
      <c r="P422" s="109">
        <v>3609.46</v>
      </c>
      <c r="Q422" s="109">
        <v>2852.25</v>
      </c>
      <c r="R422" s="109">
        <v>15543.56</v>
      </c>
    </row>
    <row r="423" spans="1:18" x14ac:dyDescent="0.3">
      <c r="A423" s="116" t="s">
        <v>394</v>
      </c>
      <c r="B423" s="116" t="s">
        <v>322</v>
      </c>
      <c r="C423" s="116" t="s">
        <v>369</v>
      </c>
      <c r="D423" s="116" t="s">
        <v>399</v>
      </c>
      <c r="E423" s="116" t="s">
        <v>539</v>
      </c>
      <c r="F423" s="116">
        <v>40</v>
      </c>
      <c r="G423" s="117">
        <v>9842.42</v>
      </c>
      <c r="H423" s="116">
        <v>0</v>
      </c>
      <c r="I423" s="116" t="s">
        <v>322</v>
      </c>
      <c r="J423" s="117">
        <v>0</v>
      </c>
      <c r="K423" s="117">
        <v>0</v>
      </c>
      <c r="L423" s="117">
        <v>0</v>
      </c>
      <c r="M423" s="117">
        <v>0</v>
      </c>
      <c r="N423" s="117">
        <v>0</v>
      </c>
      <c r="O423" s="117">
        <v>3074.19</v>
      </c>
      <c r="P423" s="109">
        <v>1543.48</v>
      </c>
      <c r="Q423" s="109">
        <v>1011.73</v>
      </c>
      <c r="R423" s="109">
        <v>10361.4</v>
      </c>
    </row>
    <row r="424" spans="1:18" x14ac:dyDescent="0.3">
      <c r="A424" s="116" t="s">
        <v>394</v>
      </c>
      <c r="B424" s="116" t="s">
        <v>322</v>
      </c>
      <c r="C424" s="116" t="s">
        <v>382</v>
      </c>
      <c r="D424" s="116" t="s">
        <v>399</v>
      </c>
      <c r="E424" s="116" t="s">
        <v>525</v>
      </c>
      <c r="F424" s="116">
        <v>40</v>
      </c>
      <c r="G424" s="117">
        <v>9523.3799999999992</v>
      </c>
      <c r="H424" s="116">
        <v>0</v>
      </c>
      <c r="I424" s="116" t="s">
        <v>322</v>
      </c>
      <c r="J424" s="117">
        <v>0</v>
      </c>
      <c r="K424" s="117">
        <v>0</v>
      </c>
      <c r="L424" s="117">
        <v>0</v>
      </c>
      <c r="M424" s="117">
        <v>0</v>
      </c>
      <c r="N424" s="117">
        <v>0</v>
      </c>
      <c r="O424" s="117">
        <v>3366.96</v>
      </c>
      <c r="P424" s="109">
        <v>1387.93</v>
      </c>
      <c r="Q424" s="109">
        <v>1068.72</v>
      </c>
      <c r="R424" s="109">
        <v>10433.69</v>
      </c>
    </row>
    <row r="425" spans="1:18" x14ac:dyDescent="0.3">
      <c r="A425" s="116" t="s">
        <v>394</v>
      </c>
      <c r="B425" s="116" t="s">
        <v>322</v>
      </c>
      <c r="C425" s="116"/>
      <c r="D425" s="116" t="s">
        <v>399</v>
      </c>
      <c r="E425" s="116" t="s">
        <v>452</v>
      </c>
      <c r="F425" s="116">
        <v>40</v>
      </c>
      <c r="G425" s="117">
        <v>9397.31</v>
      </c>
      <c r="H425" s="116">
        <v>0</v>
      </c>
      <c r="I425" s="116" t="s">
        <v>322</v>
      </c>
      <c r="J425" s="117">
        <v>0</v>
      </c>
      <c r="K425" s="117">
        <v>0</v>
      </c>
      <c r="L425" s="117">
        <v>0</v>
      </c>
      <c r="M425" s="117">
        <v>0</v>
      </c>
      <c r="N425" s="117">
        <v>0</v>
      </c>
      <c r="O425" s="117">
        <v>3074.19</v>
      </c>
      <c r="P425" s="109">
        <v>1506.81</v>
      </c>
      <c r="Q425" s="109">
        <v>699.96</v>
      </c>
      <c r="R425" s="109">
        <v>10264.73</v>
      </c>
    </row>
    <row r="426" spans="1:18" x14ac:dyDescent="0.3">
      <c r="A426" s="116" t="s">
        <v>394</v>
      </c>
      <c r="B426" s="116" t="s">
        <v>322</v>
      </c>
      <c r="C426" s="116"/>
      <c r="D426" s="116" t="s">
        <v>399</v>
      </c>
      <c r="E426" s="116" t="s">
        <v>535</v>
      </c>
      <c r="F426" s="116">
        <v>40</v>
      </c>
      <c r="G426" s="117">
        <v>7691.55</v>
      </c>
      <c r="H426" s="116">
        <v>0</v>
      </c>
      <c r="I426" s="116" t="s">
        <v>322</v>
      </c>
      <c r="J426" s="117">
        <v>0</v>
      </c>
      <c r="K426" s="117">
        <v>0</v>
      </c>
      <c r="L426" s="117">
        <v>0</v>
      </c>
      <c r="M426" s="117">
        <v>0</v>
      </c>
      <c r="N426" s="117">
        <v>0</v>
      </c>
      <c r="O426" s="117">
        <v>2927.79</v>
      </c>
      <c r="P426" s="109">
        <v>960.12</v>
      </c>
      <c r="Q426" s="109">
        <v>982.16</v>
      </c>
      <c r="R426" s="109">
        <v>8677.06</v>
      </c>
    </row>
    <row r="427" spans="1:18" x14ac:dyDescent="0.3">
      <c r="A427" s="116" t="s">
        <v>394</v>
      </c>
      <c r="B427" s="116" t="s">
        <v>322</v>
      </c>
      <c r="C427" s="116"/>
      <c r="D427" s="116" t="s">
        <v>399</v>
      </c>
      <c r="E427" s="116" t="s">
        <v>492</v>
      </c>
      <c r="F427" s="116">
        <v>40</v>
      </c>
      <c r="G427" s="117">
        <v>8450.9500000000007</v>
      </c>
      <c r="H427" s="116">
        <v>0</v>
      </c>
      <c r="I427" s="116" t="s">
        <v>322</v>
      </c>
      <c r="J427" s="117">
        <v>0</v>
      </c>
      <c r="K427" s="117">
        <v>0</v>
      </c>
      <c r="L427" s="117">
        <v>0</v>
      </c>
      <c r="M427" s="117">
        <v>0</v>
      </c>
      <c r="N427" s="117">
        <v>0</v>
      </c>
      <c r="O427" s="117">
        <v>1903.06</v>
      </c>
      <c r="P427" s="109">
        <v>1161.54</v>
      </c>
      <c r="Q427" s="109">
        <v>1009.13</v>
      </c>
      <c r="R427" s="109">
        <v>8183.34</v>
      </c>
    </row>
    <row r="428" spans="1:18" x14ac:dyDescent="0.3">
      <c r="A428" s="116" t="s">
        <v>394</v>
      </c>
      <c r="B428" s="116" t="s">
        <v>322</v>
      </c>
      <c r="C428" s="116"/>
      <c r="D428" s="116" t="s">
        <v>399</v>
      </c>
      <c r="E428" s="116" t="s">
        <v>495</v>
      </c>
      <c r="F428" s="116">
        <v>40</v>
      </c>
      <c r="G428" s="117">
        <v>7467.88</v>
      </c>
      <c r="H428" s="116">
        <v>0</v>
      </c>
      <c r="I428" s="116" t="s">
        <v>322</v>
      </c>
      <c r="J428" s="117">
        <v>0</v>
      </c>
      <c r="K428" s="117">
        <v>0</v>
      </c>
      <c r="L428" s="117">
        <v>0</v>
      </c>
      <c r="M428" s="117">
        <v>0</v>
      </c>
      <c r="N428" s="117">
        <v>0</v>
      </c>
      <c r="O428" s="117">
        <v>1610.29</v>
      </c>
      <c r="P428" s="109">
        <v>898.61</v>
      </c>
      <c r="Q428" s="109">
        <v>982.16</v>
      </c>
      <c r="R428" s="109">
        <v>7197.4</v>
      </c>
    </row>
    <row r="429" spans="1:18" x14ac:dyDescent="0.3">
      <c r="A429" s="116" t="s">
        <v>394</v>
      </c>
      <c r="B429" s="116" t="s">
        <v>322</v>
      </c>
      <c r="C429" s="116" t="s">
        <v>382</v>
      </c>
      <c r="D429" s="116" t="s">
        <v>399</v>
      </c>
      <c r="E429" s="116" t="s">
        <v>435</v>
      </c>
      <c r="F429" s="116">
        <v>40</v>
      </c>
      <c r="G429" s="117">
        <v>8755.6200000000008</v>
      </c>
      <c r="H429" s="116">
        <v>0</v>
      </c>
      <c r="I429" s="116" t="s">
        <v>322</v>
      </c>
      <c r="J429" s="117">
        <v>0</v>
      </c>
      <c r="K429" s="117">
        <v>0</v>
      </c>
      <c r="L429" s="117">
        <v>0</v>
      </c>
      <c r="M429" s="117">
        <v>0</v>
      </c>
      <c r="N429" s="117">
        <v>0</v>
      </c>
      <c r="O429" s="117">
        <v>3366.96</v>
      </c>
      <c r="P429" s="109">
        <v>1228.6199999999999</v>
      </c>
      <c r="Q429" s="109">
        <v>1069.8599999999999</v>
      </c>
      <c r="R429" s="109">
        <v>9824.1</v>
      </c>
    </row>
    <row r="430" spans="1:18" x14ac:dyDescent="0.3">
      <c r="A430" s="116" t="s">
        <v>394</v>
      </c>
      <c r="B430" s="116" t="s">
        <v>322</v>
      </c>
      <c r="C430" s="116"/>
      <c r="D430" s="116" t="s">
        <v>399</v>
      </c>
      <c r="E430" s="116" t="s">
        <v>407</v>
      </c>
      <c r="F430" s="116">
        <v>40</v>
      </c>
      <c r="G430" s="117">
        <v>8463.27</v>
      </c>
      <c r="H430" s="116">
        <v>0</v>
      </c>
      <c r="I430" s="116" t="s">
        <v>322</v>
      </c>
      <c r="J430" s="117">
        <v>0</v>
      </c>
      <c r="K430" s="117">
        <v>0</v>
      </c>
      <c r="L430" s="117">
        <v>0</v>
      </c>
      <c r="M430" s="117">
        <v>0</v>
      </c>
      <c r="N430" s="117">
        <v>0</v>
      </c>
      <c r="O430" s="117">
        <v>1610.28</v>
      </c>
      <c r="P430" s="109">
        <v>1060.1099999999999</v>
      </c>
      <c r="Q430" s="109">
        <v>1011.1</v>
      </c>
      <c r="R430" s="109">
        <v>8002.34</v>
      </c>
    </row>
    <row r="431" spans="1:18" x14ac:dyDescent="0.3">
      <c r="A431" s="116" t="s">
        <v>394</v>
      </c>
      <c r="B431" s="116" t="s">
        <v>322</v>
      </c>
      <c r="C431" s="116"/>
      <c r="D431" s="116" t="s">
        <v>399</v>
      </c>
      <c r="E431" s="116" t="s">
        <v>400</v>
      </c>
      <c r="F431" s="116">
        <v>40</v>
      </c>
      <c r="G431" s="117">
        <v>7664.9</v>
      </c>
      <c r="H431" s="116">
        <v>0</v>
      </c>
      <c r="I431" s="116" t="s">
        <v>322</v>
      </c>
      <c r="J431" s="117">
        <v>0</v>
      </c>
      <c r="K431" s="117">
        <v>0</v>
      </c>
      <c r="L431" s="117">
        <v>0</v>
      </c>
      <c r="M431" s="117">
        <v>0</v>
      </c>
      <c r="N431" s="117">
        <v>0</v>
      </c>
      <c r="O431" s="117">
        <v>3220.57</v>
      </c>
      <c r="P431" s="109">
        <v>945.87</v>
      </c>
      <c r="Q431" s="109">
        <v>1007.34</v>
      </c>
      <c r="R431" s="109">
        <v>8932.26</v>
      </c>
    </row>
    <row r="432" spans="1:18" x14ac:dyDescent="0.3">
      <c r="A432" s="116" t="s">
        <v>394</v>
      </c>
      <c r="B432" s="116" t="s">
        <v>322</v>
      </c>
      <c r="C432" s="116"/>
      <c r="D432" s="116" t="s">
        <v>399</v>
      </c>
      <c r="E432" s="116" t="s">
        <v>540</v>
      </c>
      <c r="F432" s="116">
        <v>40</v>
      </c>
      <c r="G432" s="117">
        <v>7673.96</v>
      </c>
      <c r="H432" s="116">
        <v>0</v>
      </c>
      <c r="I432" s="116" t="s">
        <v>322</v>
      </c>
      <c r="J432" s="117">
        <v>0</v>
      </c>
      <c r="K432" s="117">
        <v>0</v>
      </c>
      <c r="L432" s="117">
        <v>0</v>
      </c>
      <c r="M432" s="117">
        <v>0</v>
      </c>
      <c r="N432" s="117">
        <v>0</v>
      </c>
      <c r="O432" s="117">
        <v>3366.96</v>
      </c>
      <c r="P432" s="109">
        <v>895.82</v>
      </c>
      <c r="Q432" s="109">
        <v>1008.79</v>
      </c>
      <c r="R432" s="109">
        <v>9136.31</v>
      </c>
    </row>
    <row r="433" spans="1:18" x14ac:dyDescent="0.3">
      <c r="A433" s="116" t="s">
        <v>394</v>
      </c>
      <c r="B433" s="116" t="s">
        <v>322</v>
      </c>
      <c r="C433" s="116" t="s">
        <v>406</v>
      </c>
      <c r="D433" s="116" t="s">
        <v>399</v>
      </c>
      <c r="E433" s="116" t="s">
        <v>541</v>
      </c>
      <c r="F433" s="116">
        <v>40</v>
      </c>
      <c r="G433" s="117">
        <v>9660.4</v>
      </c>
      <c r="H433" s="116">
        <v>0</v>
      </c>
      <c r="I433" s="116" t="s">
        <v>322</v>
      </c>
      <c r="J433" s="117">
        <v>0</v>
      </c>
      <c r="K433" s="117">
        <v>0</v>
      </c>
      <c r="L433" s="117">
        <v>0</v>
      </c>
      <c r="M433" s="117">
        <v>0</v>
      </c>
      <c r="N433" s="117">
        <v>0</v>
      </c>
      <c r="O433" s="117">
        <v>2927.79</v>
      </c>
      <c r="P433" s="109">
        <v>1493.72</v>
      </c>
      <c r="Q433" s="109">
        <v>1010.64</v>
      </c>
      <c r="R433" s="109">
        <v>10083.83</v>
      </c>
    </row>
    <row r="434" spans="1:18" x14ac:dyDescent="0.3">
      <c r="A434" s="116" t="s">
        <v>394</v>
      </c>
      <c r="B434" s="116" t="s">
        <v>322</v>
      </c>
      <c r="C434" s="116" t="s">
        <v>369</v>
      </c>
      <c r="D434" s="116" t="s">
        <v>399</v>
      </c>
      <c r="E434" s="116" t="s">
        <v>402</v>
      </c>
      <c r="F434" s="116">
        <v>40</v>
      </c>
      <c r="G434" s="117">
        <v>9703.31</v>
      </c>
      <c r="H434" s="116">
        <v>0</v>
      </c>
      <c r="I434" s="116" t="s">
        <v>322</v>
      </c>
      <c r="J434" s="117">
        <v>0</v>
      </c>
      <c r="K434" s="117">
        <v>0</v>
      </c>
      <c r="L434" s="117">
        <v>0</v>
      </c>
      <c r="M434" s="117">
        <v>0</v>
      </c>
      <c r="N434" s="117">
        <v>0</v>
      </c>
      <c r="O434" s="117">
        <v>3074.19</v>
      </c>
      <c r="P434" s="109">
        <v>1489.35</v>
      </c>
      <c r="Q434" s="109">
        <v>1069.47</v>
      </c>
      <c r="R434" s="109">
        <v>10218.68</v>
      </c>
    </row>
    <row r="435" spans="1:18" x14ac:dyDescent="0.3">
      <c r="A435" s="116" t="s">
        <v>394</v>
      </c>
      <c r="B435" s="116" t="s">
        <v>322</v>
      </c>
      <c r="C435" s="116"/>
      <c r="D435" s="116" t="s">
        <v>399</v>
      </c>
      <c r="E435" s="116" t="s">
        <v>513</v>
      </c>
      <c r="F435" s="116">
        <v>40</v>
      </c>
      <c r="G435" s="117">
        <v>9841.75</v>
      </c>
      <c r="H435" s="116">
        <v>0</v>
      </c>
      <c r="I435" s="116" t="s">
        <v>322</v>
      </c>
      <c r="J435" s="117">
        <v>0</v>
      </c>
      <c r="K435" s="117">
        <v>0</v>
      </c>
      <c r="L435" s="117">
        <v>0</v>
      </c>
      <c r="M435" s="117">
        <v>0</v>
      </c>
      <c r="N435" s="117">
        <v>0</v>
      </c>
      <c r="O435" s="117">
        <v>3366.96</v>
      </c>
      <c r="P435" s="109">
        <v>1610.7</v>
      </c>
      <c r="Q435" s="109">
        <v>766.63</v>
      </c>
      <c r="R435" s="109">
        <v>10831.38</v>
      </c>
    </row>
    <row r="436" spans="1:18" x14ac:dyDescent="0.3">
      <c r="A436" s="116" t="s">
        <v>394</v>
      </c>
      <c r="B436" s="116" t="s">
        <v>322</v>
      </c>
      <c r="C436" s="116" t="s">
        <v>382</v>
      </c>
      <c r="D436" s="116" t="s">
        <v>399</v>
      </c>
      <c r="E436" s="116" t="s">
        <v>542</v>
      </c>
      <c r="F436" s="116">
        <v>40</v>
      </c>
      <c r="G436" s="117">
        <v>8746.94</v>
      </c>
      <c r="H436" s="116">
        <v>0</v>
      </c>
      <c r="I436" s="116" t="s">
        <v>322</v>
      </c>
      <c r="J436" s="117">
        <v>0</v>
      </c>
      <c r="K436" s="117">
        <v>0</v>
      </c>
      <c r="L436" s="117">
        <v>0</v>
      </c>
      <c r="M436" s="117">
        <v>0</v>
      </c>
      <c r="N436" s="117">
        <v>0</v>
      </c>
      <c r="O436" s="117">
        <v>3366.96</v>
      </c>
      <c r="P436" s="109">
        <v>1226.6199999999999</v>
      </c>
      <c r="Q436" s="109">
        <v>1068.47</v>
      </c>
      <c r="R436" s="109">
        <v>9818.81</v>
      </c>
    </row>
    <row r="437" spans="1:18" x14ac:dyDescent="0.3">
      <c r="A437" s="116" t="s">
        <v>394</v>
      </c>
      <c r="B437" s="116" t="s">
        <v>322</v>
      </c>
      <c r="C437" s="116"/>
      <c r="D437" s="116" t="s">
        <v>399</v>
      </c>
      <c r="E437" s="116" t="s">
        <v>325</v>
      </c>
      <c r="F437" s="116">
        <v>40</v>
      </c>
      <c r="G437" s="117">
        <v>7687.52</v>
      </c>
      <c r="H437" s="116">
        <v>0</v>
      </c>
      <c r="I437" s="116" t="s">
        <v>322</v>
      </c>
      <c r="J437" s="117">
        <v>0</v>
      </c>
      <c r="K437" s="117">
        <v>0</v>
      </c>
      <c r="L437" s="117">
        <v>0</v>
      </c>
      <c r="M437" s="117">
        <v>0</v>
      </c>
      <c r="N437" s="117">
        <v>0</v>
      </c>
      <c r="O437" s="117">
        <v>3074.19</v>
      </c>
      <c r="P437" s="109">
        <v>951.09</v>
      </c>
      <c r="Q437" s="109">
        <v>1010.96</v>
      </c>
      <c r="R437" s="109">
        <v>8799.66</v>
      </c>
    </row>
    <row r="438" spans="1:18" x14ac:dyDescent="0.3">
      <c r="A438" s="116" t="s">
        <v>394</v>
      </c>
      <c r="B438" s="116" t="s">
        <v>322</v>
      </c>
      <c r="C438" s="116" t="s">
        <v>327</v>
      </c>
      <c r="D438" s="116" t="s">
        <v>399</v>
      </c>
      <c r="E438" s="116" t="s">
        <v>325</v>
      </c>
      <c r="F438" s="116">
        <v>40</v>
      </c>
      <c r="G438" s="117">
        <v>11109</v>
      </c>
      <c r="H438" s="116">
        <v>0</v>
      </c>
      <c r="I438" s="116" t="s">
        <v>322</v>
      </c>
      <c r="J438" s="117">
        <v>0</v>
      </c>
      <c r="K438" s="117">
        <v>0</v>
      </c>
      <c r="L438" s="117">
        <v>0</v>
      </c>
      <c r="M438" s="117">
        <v>0</v>
      </c>
      <c r="N438" s="117">
        <v>0</v>
      </c>
      <c r="O438" s="117">
        <v>3074.19</v>
      </c>
      <c r="P438" s="109">
        <v>1891.99</v>
      </c>
      <c r="Q438" s="109">
        <v>1010.99</v>
      </c>
      <c r="R438" s="109">
        <v>11280.21</v>
      </c>
    </row>
    <row r="439" spans="1:18" x14ac:dyDescent="0.3">
      <c r="A439" s="116" t="s">
        <v>394</v>
      </c>
      <c r="B439" s="116" t="s">
        <v>322</v>
      </c>
      <c r="C439" s="116" t="s">
        <v>464</v>
      </c>
      <c r="D439" s="116" t="s">
        <v>399</v>
      </c>
      <c r="E439" s="116" t="s">
        <v>325</v>
      </c>
      <c r="F439" s="116">
        <v>40</v>
      </c>
      <c r="G439" s="117">
        <v>7864.24</v>
      </c>
      <c r="H439" s="116">
        <v>0</v>
      </c>
      <c r="I439" s="116" t="s">
        <v>322</v>
      </c>
      <c r="J439" s="117">
        <v>0</v>
      </c>
      <c r="K439" s="117">
        <v>0</v>
      </c>
      <c r="L439" s="117">
        <v>0</v>
      </c>
      <c r="M439" s="117">
        <v>0</v>
      </c>
      <c r="N439" s="117">
        <v>0</v>
      </c>
      <c r="O439" s="117">
        <v>3074.19</v>
      </c>
      <c r="P439" s="109">
        <v>960.91</v>
      </c>
      <c r="Q439" s="109">
        <v>962.4</v>
      </c>
      <c r="R439" s="109">
        <v>9015.1200000000008</v>
      </c>
    </row>
    <row r="440" spans="1:18" x14ac:dyDescent="0.3">
      <c r="A440" s="116" t="s">
        <v>394</v>
      </c>
      <c r="B440" s="116" t="s">
        <v>322</v>
      </c>
      <c r="C440" s="116"/>
      <c r="D440" s="116" t="s">
        <v>399</v>
      </c>
      <c r="E440" s="116" t="s">
        <v>523</v>
      </c>
      <c r="F440" s="116">
        <v>40</v>
      </c>
      <c r="G440" s="117">
        <v>8824.31</v>
      </c>
      <c r="H440" s="116">
        <v>0</v>
      </c>
      <c r="I440" s="116" t="s">
        <v>322</v>
      </c>
      <c r="J440" s="117">
        <v>0</v>
      </c>
      <c r="K440" s="117">
        <v>0</v>
      </c>
      <c r="L440" s="117">
        <v>0</v>
      </c>
      <c r="M440" s="117">
        <v>0</v>
      </c>
      <c r="N440" s="117">
        <v>0</v>
      </c>
      <c r="O440" s="117">
        <v>3220.57</v>
      </c>
      <c r="P440" s="109">
        <v>1247.79</v>
      </c>
      <c r="Q440" s="109">
        <v>1068.8699999999999</v>
      </c>
      <c r="R440" s="109">
        <v>9728.2199999999993</v>
      </c>
    </row>
    <row r="441" spans="1:18" x14ac:dyDescent="0.3">
      <c r="A441" s="116" t="s">
        <v>394</v>
      </c>
      <c r="B441" s="116" t="s">
        <v>322</v>
      </c>
      <c r="C441" s="116"/>
      <c r="D441" s="116" t="s">
        <v>399</v>
      </c>
      <c r="E441" s="116" t="s">
        <v>543</v>
      </c>
      <c r="F441" s="116">
        <v>40</v>
      </c>
      <c r="G441" s="117">
        <v>7359.44</v>
      </c>
      <c r="H441" s="116">
        <v>0</v>
      </c>
      <c r="I441" s="116" t="s">
        <v>322</v>
      </c>
      <c r="J441" s="117">
        <v>0</v>
      </c>
      <c r="K441" s="117">
        <v>0</v>
      </c>
      <c r="L441" s="117">
        <v>0</v>
      </c>
      <c r="M441" s="117">
        <v>0</v>
      </c>
      <c r="N441" s="117">
        <v>0</v>
      </c>
      <c r="O441" s="117">
        <v>1903.06</v>
      </c>
      <c r="P441" s="109">
        <v>875.1</v>
      </c>
      <c r="Q441" s="109">
        <v>959.21</v>
      </c>
      <c r="R441" s="109">
        <v>7428.19</v>
      </c>
    </row>
    <row r="442" spans="1:18" x14ac:dyDescent="0.3">
      <c r="A442" s="116" t="s">
        <v>394</v>
      </c>
      <c r="B442" s="116" t="s">
        <v>322</v>
      </c>
      <c r="C442" s="116"/>
      <c r="D442" s="116" t="s">
        <v>399</v>
      </c>
      <c r="E442" s="116" t="s">
        <v>401</v>
      </c>
      <c r="F442" s="116">
        <v>40</v>
      </c>
      <c r="G442" s="117">
        <v>8827.02</v>
      </c>
      <c r="H442" s="116">
        <v>0</v>
      </c>
      <c r="I442" s="116" t="s">
        <v>322</v>
      </c>
      <c r="J442" s="117">
        <v>0</v>
      </c>
      <c r="K442" s="117">
        <v>0</v>
      </c>
      <c r="L442" s="117">
        <v>0</v>
      </c>
      <c r="M442" s="117">
        <v>0</v>
      </c>
      <c r="N442" s="117">
        <v>0</v>
      </c>
      <c r="O442" s="117">
        <v>3220.57</v>
      </c>
      <c r="P442" s="109">
        <v>1248.4100000000001</v>
      </c>
      <c r="Q442" s="109">
        <v>1069.3</v>
      </c>
      <c r="R442" s="109">
        <v>9729.8799999999992</v>
      </c>
    </row>
    <row r="443" spans="1:18" x14ac:dyDescent="0.3">
      <c r="A443" s="116" t="s">
        <v>394</v>
      </c>
      <c r="B443" s="116" t="s">
        <v>322</v>
      </c>
      <c r="C443" s="116"/>
      <c r="D443" s="116" t="s">
        <v>399</v>
      </c>
      <c r="E443" s="116" t="s">
        <v>544</v>
      </c>
      <c r="F443" s="116">
        <v>40</v>
      </c>
      <c r="G443" s="117">
        <v>8457.65</v>
      </c>
      <c r="H443" s="116">
        <v>0</v>
      </c>
      <c r="I443" s="116" t="s">
        <v>322</v>
      </c>
      <c r="J443" s="117">
        <v>0</v>
      </c>
      <c r="K443" s="117">
        <v>0</v>
      </c>
      <c r="L443" s="117">
        <v>0</v>
      </c>
      <c r="M443" s="117">
        <v>0</v>
      </c>
      <c r="N443" s="117">
        <v>0</v>
      </c>
      <c r="O443" s="117">
        <v>2488.62</v>
      </c>
      <c r="P443" s="109">
        <v>1163.0899999999999</v>
      </c>
      <c r="Q443" s="109">
        <v>1010.2</v>
      </c>
      <c r="R443" s="109">
        <v>8772.98</v>
      </c>
    </row>
    <row r="444" spans="1:18" x14ac:dyDescent="0.3">
      <c r="A444" s="116" t="s">
        <v>394</v>
      </c>
      <c r="B444" s="116" t="s">
        <v>322</v>
      </c>
      <c r="C444" s="116"/>
      <c r="D444" s="116" t="s">
        <v>399</v>
      </c>
      <c r="E444" s="116" t="s">
        <v>545</v>
      </c>
      <c r="F444" s="116">
        <v>40</v>
      </c>
      <c r="G444" s="117">
        <v>8047.99</v>
      </c>
      <c r="H444" s="116">
        <v>0</v>
      </c>
      <c r="I444" s="116" t="s">
        <v>322</v>
      </c>
      <c r="J444" s="117">
        <v>0</v>
      </c>
      <c r="K444" s="117">
        <v>0</v>
      </c>
      <c r="L444" s="117">
        <v>0</v>
      </c>
      <c r="M444" s="117">
        <v>0</v>
      </c>
      <c r="N444" s="117">
        <v>0</v>
      </c>
      <c r="O444" s="117">
        <v>3074.19</v>
      </c>
      <c r="P444" s="109">
        <v>982.22</v>
      </c>
      <c r="Q444" s="109">
        <v>1068.6400000000001</v>
      </c>
      <c r="R444" s="109">
        <v>9071.32</v>
      </c>
    </row>
    <row r="445" spans="1:18" x14ac:dyDescent="0.3">
      <c r="A445" s="116" t="s">
        <v>394</v>
      </c>
      <c r="B445" s="116" t="s">
        <v>322</v>
      </c>
      <c r="C445" s="116"/>
      <c r="D445" s="116" t="s">
        <v>399</v>
      </c>
      <c r="E445" s="116" t="s">
        <v>402</v>
      </c>
      <c r="F445" s="116">
        <v>40</v>
      </c>
      <c r="G445" s="117">
        <v>6621.86</v>
      </c>
      <c r="H445" s="116">
        <v>0</v>
      </c>
      <c r="I445" s="116" t="s">
        <v>322</v>
      </c>
      <c r="J445" s="117">
        <v>0</v>
      </c>
      <c r="K445" s="117">
        <v>0</v>
      </c>
      <c r="L445" s="117">
        <v>0</v>
      </c>
      <c r="M445" s="117">
        <v>0</v>
      </c>
      <c r="N445" s="117">
        <v>0</v>
      </c>
      <c r="O445" s="117">
        <v>0</v>
      </c>
      <c r="P445" s="109">
        <v>703.51</v>
      </c>
      <c r="Q445" s="109">
        <v>845.62</v>
      </c>
      <c r="R445" s="109">
        <v>5072.7299999999996</v>
      </c>
    </row>
    <row r="446" spans="1:18" x14ac:dyDescent="0.3">
      <c r="A446" s="116" t="s">
        <v>394</v>
      </c>
      <c r="B446" s="116" t="s">
        <v>322</v>
      </c>
      <c r="C446" s="116"/>
      <c r="D446" s="116" t="s">
        <v>399</v>
      </c>
      <c r="E446" s="116" t="s">
        <v>546</v>
      </c>
      <c r="F446" s="116">
        <v>40</v>
      </c>
      <c r="G446" s="117">
        <v>8849.8799999999992</v>
      </c>
      <c r="H446" s="116">
        <v>0</v>
      </c>
      <c r="I446" s="116" t="s">
        <v>322</v>
      </c>
      <c r="J446" s="117">
        <v>0</v>
      </c>
      <c r="K446" s="117">
        <v>0</v>
      </c>
      <c r="L446" s="117">
        <v>0</v>
      </c>
      <c r="M446" s="117">
        <v>0</v>
      </c>
      <c r="N446" s="117">
        <v>0</v>
      </c>
      <c r="O446" s="117">
        <v>2635.02</v>
      </c>
      <c r="P446" s="109">
        <v>1392.84</v>
      </c>
      <c r="Q446" s="109">
        <v>566.97</v>
      </c>
      <c r="R446" s="109">
        <v>9525.09</v>
      </c>
    </row>
    <row r="447" spans="1:18" x14ac:dyDescent="0.3">
      <c r="A447" s="116" t="s">
        <v>394</v>
      </c>
      <c r="B447" s="116" t="s">
        <v>322</v>
      </c>
      <c r="C447" s="116"/>
      <c r="D447" s="116" t="s">
        <v>399</v>
      </c>
      <c r="E447" s="116" t="s">
        <v>547</v>
      </c>
      <c r="F447" s="116">
        <v>40</v>
      </c>
      <c r="G447" s="117">
        <v>7680.86</v>
      </c>
      <c r="H447" s="116">
        <v>0</v>
      </c>
      <c r="I447" s="116" t="s">
        <v>322</v>
      </c>
      <c r="J447" s="117">
        <v>0</v>
      </c>
      <c r="K447" s="117">
        <v>0</v>
      </c>
      <c r="L447" s="117">
        <v>0</v>
      </c>
      <c r="M447" s="117">
        <v>0</v>
      </c>
      <c r="N447" s="117">
        <v>0</v>
      </c>
      <c r="O447" s="117">
        <v>1903.06</v>
      </c>
      <c r="P447" s="109">
        <v>897.42</v>
      </c>
      <c r="Q447" s="109">
        <v>1009.9</v>
      </c>
      <c r="R447" s="109">
        <v>7676.6</v>
      </c>
    </row>
    <row r="448" spans="1:18" x14ac:dyDescent="0.3">
      <c r="A448" s="116" t="s">
        <v>394</v>
      </c>
      <c r="B448" s="116" t="s">
        <v>322</v>
      </c>
      <c r="C448" s="116" t="s">
        <v>464</v>
      </c>
      <c r="D448" s="116" t="s">
        <v>399</v>
      </c>
      <c r="E448" s="116" t="s">
        <v>325</v>
      </c>
      <c r="F448" s="116">
        <v>40</v>
      </c>
      <c r="G448" s="117">
        <v>7610.91</v>
      </c>
      <c r="H448" s="116">
        <v>0</v>
      </c>
      <c r="I448" s="116" t="s">
        <v>322</v>
      </c>
      <c r="J448" s="117">
        <v>0</v>
      </c>
      <c r="K448" s="117">
        <v>0</v>
      </c>
      <c r="L448" s="117">
        <v>0</v>
      </c>
      <c r="M448" s="117">
        <v>0</v>
      </c>
      <c r="N448" s="117">
        <v>0</v>
      </c>
      <c r="O448" s="117">
        <v>3074.19</v>
      </c>
      <c r="P448" s="109">
        <v>954.18</v>
      </c>
      <c r="Q448" s="109">
        <v>923.13</v>
      </c>
      <c r="R448" s="109">
        <v>8807.7900000000009</v>
      </c>
    </row>
    <row r="449" spans="1:18" x14ac:dyDescent="0.3">
      <c r="A449" s="116" t="s">
        <v>394</v>
      </c>
      <c r="B449" s="116" t="s">
        <v>322</v>
      </c>
      <c r="C449" s="116"/>
      <c r="D449" s="116" t="s">
        <v>399</v>
      </c>
      <c r="E449" s="116" t="s">
        <v>548</v>
      </c>
      <c r="F449" s="116">
        <v>40</v>
      </c>
      <c r="G449" s="117">
        <v>7677.57</v>
      </c>
      <c r="H449" s="116">
        <v>0</v>
      </c>
      <c r="I449" s="116" t="s">
        <v>322</v>
      </c>
      <c r="J449" s="117">
        <v>0</v>
      </c>
      <c r="K449" s="117">
        <v>0</v>
      </c>
      <c r="L449" s="117">
        <v>0</v>
      </c>
      <c r="M449" s="117">
        <v>0</v>
      </c>
      <c r="N449" s="117">
        <v>0</v>
      </c>
      <c r="O449" s="117">
        <v>2635.01</v>
      </c>
      <c r="P449" s="109">
        <v>688.11</v>
      </c>
      <c r="Q449" s="109">
        <v>1009.37</v>
      </c>
      <c r="R449" s="109">
        <v>8615.1</v>
      </c>
    </row>
    <row r="450" spans="1:18" x14ac:dyDescent="0.3">
      <c r="A450" s="116" t="s">
        <v>394</v>
      </c>
      <c r="B450" s="116" t="s">
        <v>322</v>
      </c>
      <c r="C450" s="116" t="s">
        <v>406</v>
      </c>
      <c r="D450" s="116" t="s">
        <v>399</v>
      </c>
      <c r="E450" s="116" t="s">
        <v>542</v>
      </c>
      <c r="F450" s="116">
        <v>40</v>
      </c>
      <c r="G450" s="117">
        <v>8508.7800000000007</v>
      </c>
      <c r="H450" s="116">
        <v>0</v>
      </c>
      <c r="I450" s="116" t="s">
        <v>322</v>
      </c>
      <c r="J450" s="117">
        <v>2836.26</v>
      </c>
      <c r="K450" s="117">
        <v>0</v>
      </c>
      <c r="L450" s="117">
        <v>0</v>
      </c>
      <c r="M450" s="117">
        <v>0</v>
      </c>
      <c r="N450" s="117">
        <v>0</v>
      </c>
      <c r="O450" s="117">
        <v>2927.79</v>
      </c>
      <c r="P450" s="109">
        <v>1248.3699999999999</v>
      </c>
      <c r="Q450" s="109">
        <v>951.36</v>
      </c>
      <c r="R450" s="109">
        <v>12073.1</v>
      </c>
    </row>
    <row r="451" spans="1:18" x14ac:dyDescent="0.3">
      <c r="A451" s="116" t="s">
        <v>394</v>
      </c>
      <c r="B451" s="116" t="s">
        <v>322</v>
      </c>
      <c r="C451" s="116"/>
      <c r="D451" s="116" t="s">
        <v>399</v>
      </c>
      <c r="E451" s="116" t="s">
        <v>469</v>
      </c>
      <c r="F451" s="116">
        <v>40</v>
      </c>
      <c r="G451" s="117">
        <v>7683.18</v>
      </c>
      <c r="H451" s="116">
        <v>0</v>
      </c>
      <c r="I451" s="116" t="s">
        <v>322</v>
      </c>
      <c r="J451" s="117">
        <v>0</v>
      </c>
      <c r="K451" s="117">
        <v>0</v>
      </c>
      <c r="L451" s="117">
        <v>0</v>
      </c>
      <c r="M451" s="117">
        <v>0</v>
      </c>
      <c r="N451" s="117">
        <v>0</v>
      </c>
      <c r="O451" s="117">
        <v>2049.4499999999998</v>
      </c>
      <c r="P451" s="109">
        <v>950.09</v>
      </c>
      <c r="Q451" s="109">
        <v>1010.27</v>
      </c>
      <c r="R451" s="109">
        <v>7772.27</v>
      </c>
    </row>
    <row r="452" spans="1:18" x14ac:dyDescent="0.3">
      <c r="A452" s="116" t="s">
        <v>394</v>
      </c>
      <c r="B452" s="116" t="s">
        <v>322</v>
      </c>
      <c r="C452" s="116"/>
      <c r="D452" s="116" t="s">
        <v>399</v>
      </c>
      <c r="E452" s="116" t="s">
        <v>387</v>
      </c>
      <c r="F452" s="116">
        <v>40</v>
      </c>
      <c r="G452" s="117">
        <v>7379.36</v>
      </c>
      <c r="H452" s="116">
        <v>0</v>
      </c>
      <c r="I452" s="116" t="s">
        <v>322</v>
      </c>
      <c r="J452" s="117">
        <v>0</v>
      </c>
      <c r="K452" s="117">
        <v>0</v>
      </c>
      <c r="L452" s="117">
        <v>0</v>
      </c>
      <c r="M452" s="117">
        <v>0</v>
      </c>
      <c r="N452" s="117">
        <v>0</v>
      </c>
      <c r="O452" s="117">
        <v>1024.73</v>
      </c>
      <c r="P452" s="109">
        <v>879.73</v>
      </c>
      <c r="Q452" s="109">
        <v>962.3</v>
      </c>
      <c r="R452" s="109">
        <v>6562.06</v>
      </c>
    </row>
    <row r="453" spans="1:18" x14ac:dyDescent="0.3">
      <c r="A453" s="116" t="s">
        <v>394</v>
      </c>
      <c r="B453" s="116" t="s">
        <v>322</v>
      </c>
      <c r="C453" s="116" t="s">
        <v>406</v>
      </c>
      <c r="D453" s="116" t="s">
        <v>399</v>
      </c>
      <c r="E453" s="116" t="s">
        <v>435</v>
      </c>
      <c r="F453" s="116">
        <v>40</v>
      </c>
      <c r="G453" s="117">
        <v>9668.11</v>
      </c>
      <c r="H453" s="116">
        <v>0</v>
      </c>
      <c r="I453" s="116" t="s">
        <v>322</v>
      </c>
      <c r="J453" s="117">
        <v>0</v>
      </c>
      <c r="K453" s="117">
        <v>0</v>
      </c>
      <c r="L453" s="117">
        <v>0</v>
      </c>
      <c r="M453" s="117">
        <v>0</v>
      </c>
      <c r="N453" s="117">
        <v>0</v>
      </c>
      <c r="O453" s="117">
        <v>3366.96</v>
      </c>
      <c r="P453" s="109">
        <v>1495.5</v>
      </c>
      <c r="Q453" s="109">
        <v>1011.88</v>
      </c>
      <c r="R453" s="109">
        <v>10527.69</v>
      </c>
    </row>
    <row r="454" spans="1:18" x14ac:dyDescent="0.3">
      <c r="A454" s="116" t="s">
        <v>394</v>
      </c>
      <c r="B454" s="116" t="s">
        <v>322</v>
      </c>
      <c r="C454" s="116"/>
      <c r="D454" s="116" t="s">
        <v>399</v>
      </c>
      <c r="E454" s="116" t="s">
        <v>402</v>
      </c>
      <c r="F454" s="116">
        <v>40</v>
      </c>
      <c r="G454" s="117">
        <v>14996.47</v>
      </c>
      <c r="H454" s="116">
        <v>0</v>
      </c>
      <c r="I454" s="116" t="s">
        <v>322</v>
      </c>
      <c r="J454" s="117">
        <v>0</v>
      </c>
      <c r="K454" s="117">
        <v>0</v>
      </c>
      <c r="L454" s="117">
        <v>0</v>
      </c>
      <c r="M454" s="117">
        <v>0</v>
      </c>
      <c r="N454" s="117">
        <v>0</v>
      </c>
      <c r="O454" s="117">
        <v>2635.02</v>
      </c>
      <c r="P454" s="109">
        <v>2639.46</v>
      </c>
      <c r="Q454" s="109">
        <v>2180.4</v>
      </c>
      <c r="R454" s="109">
        <v>12811.63</v>
      </c>
    </row>
    <row r="455" spans="1:18" x14ac:dyDescent="0.3">
      <c r="A455" s="116" t="s">
        <v>394</v>
      </c>
      <c r="B455" s="116" t="s">
        <v>322</v>
      </c>
      <c r="C455" s="116"/>
      <c r="D455" s="116" t="s">
        <v>399</v>
      </c>
      <c r="E455" s="116" t="s">
        <v>549</v>
      </c>
      <c r="F455" s="116">
        <v>40</v>
      </c>
      <c r="G455" s="117">
        <v>8827.14</v>
      </c>
      <c r="H455" s="116">
        <v>0</v>
      </c>
      <c r="I455" s="116" t="s">
        <v>322</v>
      </c>
      <c r="J455" s="117">
        <v>0</v>
      </c>
      <c r="K455" s="117">
        <v>0</v>
      </c>
      <c r="L455" s="117">
        <v>0</v>
      </c>
      <c r="M455" s="117">
        <v>0</v>
      </c>
      <c r="N455" s="117">
        <v>0</v>
      </c>
      <c r="O455" s="117">
        <v>3366.96</v>
      </c>
      <c r="P455" s="109">
        <v>1144.17</v>
      </c>
      <c r="Q455" s="109">
        <v>1069.32</v>
      </c>
      <c r="R455" s="109">
        <v>9980.61</v>
      </c>
    </row>
    <row r="456" spans="1:18" x14ac:dyDescent="0.3">
      <c r="A456" s="116" t="s">
        <v>394</v>
      </c>
      <c r="B456" s="116" t="s">
        <v>322</v>
      </c>
      <c r="C456" s="116"/>
      <c r="D456" s="116" t="s">
        <v>399</v>
      </c>
      <c r="E456" s="116" t="s">
        <v>432</v>
      </c>
      <c r="F456" s="116">
        <v>40</v>
      </c>
      <c r="G456" s="117">
        <v>14989.62</v>
      </c>
      <c r="H456" s="116">
        <v>0</v>
      </c>
      <c r="I456" s="116" t="s">
        <v>322</v>
      </c>
      <c r="J456" s="117">
        <v>0</v>
      </c>
      <c r="K456" s="117">
        <v>0</v>
      </c>
      <c r="L456" s="117">
        <v>0</v>
      </c>
      <c r="M456" s="117">
        <v>0</v>
      </c>
      <c r="N456" s="117">
        <v>0</v>
      </c>
      <c r="O456" s="117">
        <v>3074.19</v>
      </c>
      <c r="P456" s="109">
        <v>2820.08</v>
      </c>
      <c r="Q456" s="109">
        <v>1516.76</v>
      </c>
      <c r="R456" s="109">
        <v>13726.97</v>
      </c>
    </row>
    <row r="457" spans="1:18" x14ac:dyDescent="0.3">
      <c r="A457" s="116" t="s">
        <v>394</v>
      </c>
      <c r="B457" s="116" t="s">
        <v>322</v>
      </c>
      <c r="C457" s="116"/>
      <c r="D457" s="116" t="s">
        <v>399</v>
      </c>
      <c r="E457" s="116" t="s">
        <v>550</v>
      </c>
      <c r="F457" s="116">
        <v>40</v>
      </c>
      <c r="G457" s="117">
        <v>8463.73</v>
      </c>
      <c r="H457" s="116">
        <v>0</v>
      </c>
      <c r="I457" s="116" t="s">
        <v>322</v>
      </c>
      <c r="J457" s="117">
        <v>0</v>
      </c>
      <c r="K457" s="117">
        <v>0</v>
      </c>
      <c r="L457" s="117">
        <v>0</v>
      </c>
      <c r="M457" s="117">
        <v>0</v>
      </c>
      <c r="N457" s="117">
        <v>0</v>
      </c>
      <c r="O457" s="117">
        <v>3366.96</v>
      </c>
      <c r="P457" s="109">
        <v>1164.49</v>
      </c>
      <c r="Q457" s="109">
        <v>1011.17</v>
      </c>
      <c r="R457" s="109">
        <v>9655.0300000000007</v>
      </c>
    </row>
    <row r="458" spans="1:18" x14ac:dyDescent="0.3">
      <c r="A458" s="116" t="s">
        <v>394</v>
      </c>
      <c r="B458" s="116" t="s">
        <v>322</v>
      </c>
      <c r="C458" s="116"/>
      <c r="D458" s="116" t="s">
        <v>399</v>
      </c>
      <c r="E458" s="116" t="s">
        <v>459</v>
      </c>
      <c r="F458" s="116">
        <v>40</v>
      </c>
      <c r="G458" s="117">
        <v>8470.01</v>
      </c>
      <c r="H458" s="116">
        <v>0</v>
      </c>
      <c r="I458" s="116" t="s">
        <v>322</v>
      </c>
      <c r="J458" s="117">
        <v>0</v>
      </c>
      <c r="K458" s="117">
        <v>0</v>
      </c>
      <c r="L458" s="117">
        <v>0</v>
      </c>
      <c r="M458" s="117">
        <v>0</v>
      </c>
      <c r="N458" s="117">
        <v>0</v>
      </c>
      <c r="O458" s="117">
        <v>0</v>
      </c>
      <c r="P458" s="109">
        <v>327.51</v>
      </c>
      <c r="Q458" s="109">
        <v>1012.18</v>
      </c>
      <c r="R458" s="109">
        <v>7130.32</v>
      </c>
    </row>
    <row r="459" spans="1:18" x14ac:dyDescent="0.3">
      <c r="A459" s="116" t="s">
        <v>394</v>
      </c>
      <c r="B459" s="116" t="s">
        <v>322</v>
      </c>
      <c r="C459" s="116" t="s">
        <v>366</v>
      </c>
      <c r="D459" s="116" t="s">
        <v>399</v>
      </c>
      <c r="E459" s="116" t="s">
        <v>325</v>
      </c>
      <c r="F459" s="116">
        <v>30</v>
      </c>
      <c r="G459" s="117">
        <v>8050.92</v>
      </c>
      <c r="H459" s="116">
        <v>0</v>
      </c>
      <c r="I459" s="116" t="s">
        <v>322</v>
      </c>
      <c r="J459" s="117">
        <v>0</v>
      </c>
      <c r="K459" s="117">
        <v>0</v>
      </c>
      <c r="L459" s="117">
        <v>0</v>
      </c>
      <c r="M459" s="117">
        <v>0</v>
      </c>
      <c r="N459" s="117">
        <v>0</v>
      </c>
      <c r="O459" s="117">
        <v>3220.57</v>
      </c>
      <c r="P459" s="109">
        <v>1058.95</v>
      </c>
      <c r="Q459" s="109">
        <v>982.16</v>
      </c>
      <c r="R459" s="109">
        <v>9230.3799999999992</v>
      </c>
    </row>
    <row r="460" spans="1:18" x14ac:dyDescent="0.3">
      <c r="A460" s="116" t="s">
        <v>394</v>
      </c>
      <c r="B460" s="116" t="s">
        <v>322</v>
      </c>
      <c r="C460" s="116"/>
      <c r="D460" s="116" t="s">
        <v>399</v>
      </c>
      <c r="E460" s="116" t="s">
        <v>424</v>
      </c>
      <c r="F460" s="116">
        <v>40</v>
      </c>
      <c r="G460" s="117">
        <v>7685.04</v>
      </c>
      <c r="H460" s="116">
        <v>0</v>
      </c>
      <c r="I460" s="116" t="s">
        <v>322</v>
      </c>
      <c r="J460" s="117">
        <v>0</v>
      </c>
      <c r="K460" s="117">
        <v>0</v>
      </c>
      <c r="L460" s="117">
        <v>0</v>
      </c>
      <c r="M460" s="117">
        <v>0</v>
      </c>
      <c r="N460" s="117">
        <v>0</v>
      </c>
      <c r="O460" s="117">
        <v>3366.96</v>
      </c>
      <c r="P460" s="109">
        <v>950.52</v>
      </c>
      <c r="Q460" s="109">
        <v>1010.57</v>
      </c>
      <c r="R460" s="109">
        <v>9090.91</v>
      </c>
    </row>
    <row r="461" spans="1:18" x14ac:dyDescent="0.3">
      <c r="A461" s="116" t="s">
        <v>394</v>
      </c>
      <c r="B461" s="116" t="s">
        <v>322</v>
      </c>
      <c r="C461" s="116"/>
      <c r="D461" s="116" t="s">
        <v>399</v>
      </c>
      <c r="E461" s="116" t="s">
        <v>435</v>
      </c>
      <c r="F461" s="116">
        <v>40</v>
      </c>
      <c r="G461" s="117">
        <v>8096.58</v>
      </c>
      <c r="H461" s="116">
        <v>0</v>
      </c>
      <c r="I461" s="116" t="s">
        <v>322</v>
      </c>
      <c r="J461" s="117">
        <v>0</v>
      </c>
      <c r="K461" s="117">
        <v>0</v>
      </c>
      <c r="L461" s="117">
        <v>0</v>
      </c>
      <c r="M461" s="117">
        <v>0</v>
      </c>
      <c r="N461" s="117">
        <v>0</v>
      </c>
      <c r="O461" s="117">
        <v>3366.96</v>
      </c>
      <c r="P461" s="109">
        <v>1076.98</v>
      </c>
      <c r="Q461" s="109">
        <v>962.25</v>
      </c>
      <c r="R461" s="109">
        <v>9424.31</v>
      </c>
    </row>
    <row r="462" spans="1:18" x14ac:dyDescent="0.3">
      <c r="A462" s="116" t="s">
        <v>394</v>
      </c>
      <c r="B462" s="116" t="s">
        <v>322</v>
      </c>
      <c r="C462" s="116"/>
      <c r="D462" s="116" t="s">
        <v>399</v>
      </c>
      <c r="E462" s="116" t="s">
        <v>418</v>
      </c>
      <c r="F462" s="116">
        <v>40</v>
      </c>
      <c r="G462" s="117">
        <v>8757.27</v>
      </c>
      <c r="H462" s="116">
        <v>0</v>
      </c>
      <c r="I462" s="116" t="s">
        <v>322</v>
      </c>
      <c r="J462" s="117">
        <v>0</v>
      </c>
      <c r="K462" s="117">
        <v>0</v>
      </c>
      <c r="L462" s="117">
        <v>0</v>
      </c>
      <c r="M462" s="117">
        <v>0</v>
      </c>
      <c r="N462" s="117">
        <v>0</v>
      </c>
      <c r="O462" s="117">
        <v>1756.67</v>
      </c>
      <c r="P462" s="109">
        <v>1232.3</v>
      </c>
      <c r="Q462" s="109">
        <v>1058.1400000000001</v>
      </c>
      <c r="R462" s="109">
        <v>8223.5</v>
      </c>
    </row>
    <row r="463" spans="1:18" x14ac:dyDescent="0.3">
      <c r="A463" s="116" t="s">
        <v>394</v>
      </c>
      <c r="B463" s="116" t="s">
        <v>322</v>
      </c>
      <c r="C463" s="116"/>
      <c r="D463" s="116" t="s">
        <v>399</v>
      </c>
      <c r="E463" s="116" t="s">
        <v>443</v>
      </c>
      <c r="F463" s="116">
        <v>40</v>
      </c>
      <c r="G463" s="117">
        <v>7376.05</v>
      </c>
      <c r="H463" s="116">
        <v>0</v>
      </c>
      <c r="I463" s="116" t="s">
        <v>322</v>
      </c>
      <c r="J463" s="117">
        <v>0</v>
      </c>
      <c r="K463" s="117">
        <v>0</v>
      </c>
      <c r="L463" s="117">
        <v>0</v>
      </c>
      <c r="M463" s="117">
        <v>0</v>
      </c>
      <c r="N463" s="117">
        <v>0</v>
      </c>
      <c r="O463" s="117">
        <v>2781.41</v>
      </c>
      <c r="P463" s="109">
        <v>878.96</v>
      </c>
      <c r="Q463" s="109">
        <v>961.79</v>
      </c>
      <c r="R463" s="109">
        <v>8316.7099999999991</v>
      </c>
    </row>
    <row r="464" spans="1:18" x14ac:dyDescent="0.3">
      <c r="A464" s="116" t="s">
        <v>394</v>
      </c>
      <c r="B464" s="116" t="s">
        <v>322</v>
      </c>
      <c r="C464" s="116" t="s">
        <v>369</v>
      </c>
      <c r="D464" s="116" t="s">
        <v>399</v>
      </c>
      <c r="E464" s="116" t="s">
        <v>423</v>
      </c>
      <c r="F464" s="116">
        <v>40</v>
      </c>
      <c r="G464" s="117">
        <v>10202.42</v>
      </c>
      <c r="H464" s="116">
        <v>0</v>
      </c>
      <c r="I464" s="116" t="s">
        <v>322</v>
      </c>
      <c r="J464" s="117">
        <v>0</v>
      </c>
      <c r="K464" s="117">
        <v>0</v>
      </c>
      <c r="L464" s="117">
        <v>0</v>
      </c>
      <c r="M464" s="117">
        <v>0</v>
      </c>
      <c r="N464" s="117">
        <v>0</v>
      </c>
      <c r="O464" s="117">
        <v>3074.19</v>
      </c>
      <c r="P464" s="109">
        <v>1626.64</v>
      </c>
      <c r="Q464" s="109">
        <v>1069.33</v>
      </c>
      <c r="R464" s="109">
        <v>10580.64</v>
      </c>
    </row>
    <row r="465" spans="1:18" x14ac:dyDescent="0.3">
      <c r="A465" s="116" t="s">
        <v>394</v>
      </c>
      <c r="B465" s="116" t="s">
        <v>322</v>
      </c>
      <c r="C465" s="116" t="s">
        <v>464</v>
      </c>
      <c r="D465" s="116" t="s">
        <v>399</v>
      </c>
      <c r="E465" s="116" t="s">
        <v>325</v>
      </c>
      <c r="F465" s="116">
        <v>40</v>
      </c>
      <c r="G465" s="117">
        <v>14640.35</v>
      </c>
      <c r="H465" s="116">
        <v>0</v>
      </c>
      <c r="I465" s="116" t="s">
        <v>322</v>
      </c>
      <c r="J465" s="117">
        <v>0</v>
      </c>
      <c r="K465" s="117">
        <v>0</v>
      </c>
      <c r="L465" s="117">
        <v>0</v>
      </c>
      <c r="M465" s="117">
        <v>0</v>
      </c>
      <c r="N465" s="117">
        <v>0</v>
      </c>
      <c r="O465" s="117">
        <v>1854.23</v>
      </c>
      <c r="P465" s="109">
        <v>2444.3000000000002</v>
      </c>
      <c r="Q465" s="109">
        <v>2045.93</v>
      </c>
      <c r="R465" s="109">
        <v>12004.35</v>
      </c>
    </row>
    <row r="466" spans="1:18" x14ac:dyDescent="0.3">
      <c r="A466" s="116" t="s">
        <v>394</v>
      </c>
      <c r="B466" s="116" t="s">
        <v>322</v>
      </c>
      <c r="C466" s="116" t="s">
        <v>451</v>
      </c>
      <c r="D466" s="116" t="s">
        <v>399</v>
      </c>
      <c r="E466" s="116" t="s">
        <v>325</v>
      </c>
      <c r="F466" s="116">
        <v>40</v>
      </c>
      <c r="G466" s="117">
        <v>8557.6299999999992</v>
      </c>
      <c r="H466" s="116">
        <v>0</v>
      </c>
      <c r="I466" s="116" t="s">
        <v>322</v>
      </c>
      <c r="J466" s="117">
        <v>0</v>
      </c>
      <c r="K466" s="117">
        <v>0</v>
      </c>
      <c r="L466" s="117">
        <v>0</v>
      </c>
      <c r="M466" s="117">
        <v>0</v>
      </c>
      <c r="N466" s="117">
        <v>0</v>
      </c>
      <c r="O466" s="117">
        <v>3074.19</v>
      </c>
      <c r="P466" s="109">
        <v>1176.3</v>
      </c>
      <c r="Q466" s="109">
        <v>1062.1300000000001</v>
      </c>
      <c r="R466" s="109">
        <v>9393.39</v>
      </c>
    </row>
    <row r="467" spans="1:18" x14ac:dyDescent="0.3">
      <c r="A467" s="116" t="s">
        <v>394</v>
      </c>
      <c r="B467" s="116" t="s">
        <v>322</v>
      </c>
      <c r="C467" s="116" t="s">
        <v>406</v>
      </c>
      <c r="D467" s="116" t="s">
        <v>399</v>
      </c>
      <c r="E467" s="116" t="s">
        <v>445</v>
      </c>
      <c r="F467" s="116">
        <v>40</v>
      </c>
      <c r="G467" s="117">
        <v>9249.5400000000009</v>
      </c>
      <c r="H467" s="116">
        <v>0</v>
      </c>
      <c r="I467" s="116" t="s">
        <v>322</v>
      </c>
      <c r="J467" s="117">
        <v>0</v>
      </c>
      <c r="K467" s="117">
        <v>0</v>
      </c>
      <c r="L467" s="117">
        <v>0</v>
      </c>
      <c r="M467" s="117">
        <v>0</v>
      </c>
      <c r="N467" s="117">
        <v>0</v>
      </c>
      <c r="O467" s="117">
        <v>2049.46</v>
      </c>
      <c r="P467" s="109">
        <v>1364.72</v>
      </c>
      <c r="Q467" s="109">
        <v>1068.8900000000001</v>
      </c>
      <c r="R467" s="109">
        <v>8865.39</v>
      </c>
    </row>
    <row r="468" spans="1:18" x14ac:dyDescent="0.3">
      <c r="A468" s="116" t="s">
        <v>394</v>
      </c>
      <c r="B468" s="116" t="s">
        <v>322</v>
      </c>
      <c r="C468" s="116"/>
      <c r="D468" s="116" t="s">
        <v>399</v>
      </c>
      <c r="E468" s="116" t="s">
        <v>465</v>
      </c>
      <c r="F468" s="116">
        <v>40</v>
      </c>
      <c r="G468" s="117">
        <v>7681.94</v>
      </c>
      <c r="H468" s="116">
        <v>0</v>
      </c>
      <c r="I468" s="116" t="s">
        <v>322</v>
      </c>
      <c r="J468" s="117">
        <v>0</v>
      </c>
      <c r="K468" s="117">
        <v>0</v>
      </c>
      <c r="L468" s="117">
        <v>0</v>
      </c>
      <c r="M468" s="117">
        <v>0</v>
      </c>
      <c r="N468" s="117">
        <v>0</v>
      </c>
      <c r="O468" s="117">
        <v>2635.01</v>
      </c>
      <c r="P468" s="109">
        <v>949.8</v>
      </c>
      <c r="Q468" s="109">
        <v>1010.07</v>
      </c>
      <c r="R468" s="109">
        <v>8357.08</v>
      </c>
    </row>
    <row r="469" spans="1:18" x14ac:dyDescent="0.3">
      <c r="A469" s="116" t="s">
        <v>394</v>
      </c>
      <c r="B469" s="116" t="s">
        <v>322</v>
      </c>
      <c r="C469" s="116"/>
      <c r="D469" s="116" t="s">
        <v>399</v>
      </c>
      <c r="E469" s="116" t="s">
        <v>435</v>
      </c>
      <c r="F469" s="116">
        <v>40</v>
      </c>
      <c r="G469" s="117">
        <v>7685.78</v>
      </c>
      <c r="H469" s="116">
        <v>0</v>
      </c>
      <c r="I469" s="116" t="s">
        <v>322</v>
      </c>
      <c r="J469" s="117">
        <v>0</v>
      </c>
      <c r="K469" s="117">
        <v>0</v>
      </c>
      <c r="L469" s="117">
        <v>0</v>
      </c>
      <c r="M469" s="117">
        <v>0</v>
      </c>
      <c r="N469" s="117">
        <v>0</v>
      </c>
      <c r="O469" s="117">
        <v>1903.06</v>
      </c>
      <c r="P469" s="109">
        <v>950.69</v>
      </c>
      <c r="Q469" s="109">
        <v>1010.68</v>
      </c>
      <c r="R469" s="109">
        <v>7627.47</v>
      </c>
    </row>
    <row r="470" spans="1:18" x14ac:dyDescent="0.3">
      <c r="A470" s="116" t="s">
        <v>394</v>
      </c>
      <c r="B470" s="116" t="s">
        <v>322</v>
      </c>
      <c r="C470" s="116"/>
      <c r="D470" s="116" t="s">
        <v>399</v>
      </c>
      <c r="E470" s="116" t="s">
        <v>457</v>
      </c>
      <c r="F470" s="116">
        <v>40</v>
      </c>
      <c r="G470" s="117">
        <v>7696.16</v>
      </c>
      <c r="H470" s="116">
        <v>0</v>
      </c>
      <c r="I470" s="116" t="s">
        <v>322</v>
      </c>
      <c r="J470" s="117">
        <v>0</v>
      </c>
      <c r="K470" s="117">
        <v>0</v>
      </c>
      <c r="L470" s="117">
        <v>0</v>
      </c>
      <c r="M470" s="117">
        <v>0</v>
      </c>
      <c r="N470" s="117">
        <v>0</v>
      </c>
      <c r="O470" s="117">
        <v>3074.19</v>
      </c>
      <c r="P470" s="109">
        <v>953.09</v>
      </c>
      <c r="Q470" s="109">
        <v>1012.35</v>
      </c>
      <c r="R470" s="109">
        <v>8804.91</v>
      </c>
    </row>
    <row r="471" spans="1:18" x14ac:dyDescent="0.3">
      <c r="A471" s="116" t="s">
        <v>394</v>
      </c>
      <c r="B471" s="116" t="s">
        <v>322</v>
      </c>
      <c r="C471" s="116"/>
      <c r="D471" s="116" t="s">
        <v>399</v>
      </c>
      <c r="E471" s="116" t="s">
        <v>440</v>
      </c>
      <c r="F471" s="116">
        <v>40</v>
      </c>
      <c r="G471" s="117">
        <v>7686.48</v>
      </c>
      <c r="H471" s="116">
        <v>0</v>
      </c>
      <c r="I471" s="116" t="s">
        <v>322</v>
      </c>
      <c r="J471" s="117">
        <v>0</v>
      </c>
      <c r="K471" s="117">
        <v>0</v>
      </c>
      <c r="L471" s="117">
        <v>0</v>
      </c>
      <c r="M471" s="117">
        <v>0</v>
      </c>
      <c r="N471" s="117">
        <v>0</v>
      </c>
      <c r="O471" s="117">
        <v>3074.19</v>
      </c>
      <c r="P471" s="109">
        <v>950.85</v>
      </c>
      <c r="Q471" s="109">
        <v>1010.8</v>
      </c>
      <c r="R471" s="109">
        <v>8799.02</v>
      </c>
    </row>
    <row r="472" spans="1:18" x14ac:dyDescent="0.3">
      <c r="A472" s="116" t="s">
        <v>394</v>
      </c>
      <c r="B472" s="116" t="s">
        <v>322</v>
      </c>
      <c r="C472" s="116"/>
      <c r="D472" s="116" t="s">
        <v>399</v>
      </c>
      <c r="E472" s="116" t="s">
        <v>435</v>
      </c>
      <c r="F472" s="116">
        <v>40</v>
      </c>
      <c r="G472" s="117">
        <v>7333.23</v>
      </c>
      <c r="H472" s="116">
        <v>0</v>
      </c>
      <c r="I472" s="116" t="s">
        <v>322</v>
      </c>
      <c r="J472" s="117">
        <v>0</v>
      </c>
      <c r="K472" s="117">
        <v>0</v>
      </c>
      <c r="L472" s="117">
        <v>0</v>
      </c>
      <c r="M472" s="117">
        <v>0</v>
      </c>
      <c r="N472" s="117">
        <v>0</v>
      </c>
      <c r="O472" s="117">
        <v>292.77</v>
      </c>
      <c r="P472" s="109">
        <v>869.01</v>
      </c>
      <c r="Q472" s="109">
        <v>955.15</v>
      </c>
      <c r="R472" s="109">
        <v>5801.84</v>
      </c>
    </row>
    <row r="473" spans="1:18" x14ac:dyDescent="0.3">
      <c r="A473" s="116" t="s">
        <v>394</v>
      </c>
      <c r="B473" s="116" t="s">
        <v>322</v>
      </c>
      <c r="C473" s="116" t="s">
        <v>551</v>
      </c>
      <c r="D473" s="116" t="s">
        <v>399</v>
      </c>
      <c r="E473" s="116" t="s">
        <v>325</v>
      </c>
      <c r="F473" s="116">
        <v>40</v>
      </c>
      <c r="G473" s="117">
        <v>8776.2900000000009</v>
      </c>
      <c r="H473" s="116">
        <v>0</v>
      </c>
      <c r="I473" s="116" t="s">
        <v>322</v>
      </c>
      <c r="J473" s="117">
        <v>0</v>
      </c>
      <c r="K473" s="117">
        <v>0</v>
      </c>
      <c r="L473" s="117">
        <v>0</v>
      </c>
      <c r="M473" s="117">
        <v>0</v>
      </c>
      <c r="N473" s="117">
        <v>0</v>
      </c>
      <c r="O473" s="117">
        <v>3074.19</v>
      </c>
      <c r="P473" s="109">
        <v>967.56</v>
      </c>
      <c r="Q473" s="109">
        <v>1068.94</v>
      </c>
      <c r="R473" s="109">
        <v>9813.98</v>
      </c>
    </row>
    <row r="474" spans="1:18" x14ac:dyDescent="0.3">
      <c r="A474" s="116" t="s">
        <v>394</v>
      </c>
      <c r="B474" s="116" t="s">
        <v>322</v>
      </c>
      <c r="C474" s="116"/>
      <c r="D474" s="116" t="s">
        <v>399</v>
      </c>
      <c r="E474" s="116" t="s">
        <v>552</v>
      </c>
      <c r="F474" s="116">
        <v>40</v>
      </c>
      <c r="G474" s="117">
        <v>7324.28</v>
      </c>
      <c r="H474" s="116">
        <v>0</v>
      </c>
      <c r="I474" s="116" t="s">
        <v>322</v>
      </c>
      <c r="J474" s="117">
        <v>0</v>
      </c>
      <c r="K474" s="117">
        <v>0</v>
      </c>
      <c r="L474" s="117">
        <v>0</v>
      </c>
      <c r="M474" s="117">
        <v>0</v>
      </c>
      <c r="N474" s="117">
        <v>0</v>
      </c>
      <c r="O474" s="117">
        <v>2195.85</v>
      </c>
      <c r="P474" s="109">
        <v>814.79</v>
      </c>
      <c r="Q474" s="109">
        <v>953.76</v>
      </c>
      <c r="R474" s="109">
        <v>7751.58</v>
      </c>
    </row>
    <row r="475" spans="1:18" x14ac:dyDescent="0.3">
      <c r="A475" s="116" t="s">
        <v>394</v>
      </c>
      <c r="B475" s="116" t="s">
        <v>322</v>
      </c>
      <c r="C475" s="116"/>
      <c r="D475" s="116" t="s">
        <v>399</v>
      </c>
      <c r="E475" s="116" t="s">
        <v>509</v>
      </c>
      <c r="F475" s="116">
        <v>40</v>
      </c>
      <c r="G475" s="117">
        <v>7300.34</v>
      </c>
      <c r="H475" s="116">
        <v>0</v>
      </c>
      <c r="I475" s="116" t="s">
        <v>322</v>
      </c>
      <c r="J475" s="117">
        <v>0</v>
      </c>
      <c r="K475" s="117">
        <v>0</v>
      </c>
      <c r="L475" s="117">
        <v>0</v>
      </c>
      <c r="M475" s="117">
        <v>0</v>
      </c>
      <c r="N475" s="117">
        <v>0</v>
      </c>
      <c r="O475" s="117">
        <v>3366.96</v>
      </c>
      <c r="P475" s="109">
        <v>861.37</v>
      </c>
      <c r="Q475" s="109">
        <v>950.05</v>
      </c>
      <c r="R475" s="109">
        <v>8855.8799999999992</v>
      </c>
    </row>
    <row r="476" spans="1:18" x14ac:dyDescent="0.3">
      <c r="A476" s="116" t="s">
        <v>394</v>
      </c>
      <c r="B476" s="116" t="s">
        <v>322</v>
      </c>
      <c r="C476" s="116"/>
      <c r="D476" s="116" t="s">
        <v>399</v>
      </c>
      <c r="E476" s="116" t="s">
        <v>457</v>
      </c>
      <c r="F476" s="116">
        <v>40</v>
      </c>
      <c r="G476" s="117">
        <v>7696.16</v>
      </c>
      <c r="H476" s="116">
        <v>0</v>
      </c>
      <c r="I476" s="116" t="s">
        <v>322</v>
      </c>
      <c r="J476" s="117">
        <v>0</v>
      </c>
      <c r="K476" s="117">
        <v>0</v>
      </c>
      <c r="L476" s="117">
        <v>0</v>
      </c>
      <c r="M476" s="117">
        <v>0</v>
      </c>
      <c r="N476" s="117">
        <v>0</v>
      </c>
      <c r="O476" s="117">
        <v>3074.19</v>
      </c>
      <c r="P476" s="109">
        <v>953.09</v>
      </c>
      <c r="Q476" s="109">
        <v>1012.35</v>
      </c>
      <c r="R476" s="109">
        <v>8804.91</v>
      </c>
    </row>
    <row r="477" spans="1:18" x14ac:dyDescent="0.3">
      <c r="A477" s="116" t="s">
        <v>394</v>
      </c>
      <c r="B477" s="116" t="s">
        <v>322</v>
      </c>
      <c r="C477" s="116"/>
      <c r="D477" s="116" t="s">
        <v>399</v>
      </c>
      <c r="E477" s="116" t="s">
        <v>552</v>
      </c>
      <c r="F477" s="116">
        <v>40</v>
      </c>
      <c r="G477" s="117">
        <v>8046.21</v>
      </c>
      <c r="H477" s="116">
        <v>0</v>
      </c>
      <c r="I477" s="116" t="s">
        <v>322</v>
      </c>
      <c r="J477" s="117">
        <v>0</v>
      </c>
      <c r="K477" s="117">
        <v>0</v>
      </c>
      <c r="L477" s="117">
        <v>0</v>
      </c>
      <c r="M477" s="117">
        <v>0</v>
      </c>
      <c r="N477" s="117">
        <v>0</v>
      </c>
      <c r="O477" s="117">
        <v>3074.19</v>
      </c>
      <c r="P477" s="109">
        <v>1033.95</v>
      </c>
      <c r="Q477" s="109">
        <v>1068.3499999999999</v>
      </c>
      <c r="R477" s="109">
        <v>9018.1</v>
      </c>
    </row>
    <row r="478" spans="1:18" x14ac:dyDescent="0.3">
      <c r="A478" s="116" t="s">
        <v>394</v>
      </c>
      <c r="B478" s="116" t="s">
        <v>322</v>
      </c>
      <c r="C478" s="116"/>
      <c r="D478" s="116" t="s">
        <v>399</v>
      </c>
      <c r="E478" s="116" t="s">
        <v>539</v>
      </c>
      <c r="F478" s="116">
        <v>40</v>
      </c>
      <c r="G478" s="117">
        <v>9380.1299999999992</v>
      </c>
      <c r="H478" s="116">
        <v>0</v>
      </c>
      <c r="I478" s="116" t="s">
        <v>322</v>
      </c>
      <c r="J478" s="117">
        <v>0</v>
      </c>
      <c r="K478" s="117">
        <v>0</v>
      </c>
      <c r="L478" s="117">
        <v>0</v>
      </c>
      <c r="M478" s="117">
        <v>0</v>
      </c>
      <c r="N478" s="117">
        <v>0</v>
      </c>
      <c r="O478" s="117">
        <v>3771.58</v>
      </c>
      <c r="P478" s="109">
        <v>1642.44</v>
      </c>
      <c r="Q478" s="109">
        <v>697.39</v>
      </c>
      <c r="R478" s="109">
        <v>10811.88</v>
      </c>
    </row>
    <row r="479" spans="1:18" x14ac:dyDescent="0.3">
      <c r="A479" s="116" t="s">
        <v>394</v>
      </c>
      <c r="B479" s="116" t="s">
        <v>322</v>
      </c>
      <c r="C479" s="116"/>
      <c r="D479" s="116" t="s">
        <v>399</v>
      </c>
      <c r="E479" s="116" t="s">
        <v>553</v>
      </c>
      <c r="F479" s="116">
        <v>40</v>
      </c>
      <c r="G479" s="117">
        <v>8073.97</v>
      </c>
      <c r="H479" s="116">
        <v>0</v>
      </c>
      <c r="I479" s="116" t="s">
        <v>322</v>
      </c>
      <c r="J479" s="117">
        <v>0</v>
      </c>
      <c r="K479" s="117">
        <v>0</v>
      </c>
      <c r="L479" s="117">
        <v>0</v>
      </c>
      <c r="M479" s="117">
        <v>0</v>
      </c>
      <c r="N479" s="117">
        <v>0</v>
      </c>
      <c r="O479" s="117">
        <v>1756.67</v>
      </c>
      <c r="P479" s="109">
        <v>1019.59</v>
      </c>
      <c r="Q479" s="109">
        <v>958.74</v>
      </c>
      <c r="R479" s="109">
        <v>7852.31</v>
      </c>
    </row>
    <row r="480" spans="1:18" x14ac:dyDescent="0.3">
      <c r="A480" s="116" t="s">
        <v>394</v>
      </c>
      <c r="B480" s="116" t="s">
        <v>322</v>
      </c>
      <c r="C480" s="116"/>
      <c r="D480" s="116" t="s">
        <v>399</v>
      </c>
      <c r="E480" s="116" t="s">
        <v>510</v>
      </c>
      <c r="F480" s="116">
        <v>40</v>
      </c>
      <c r="G480" s="117">
        <v>9840.6200000000008</v>
      </c>
      <c r="H480" s="116">
        <v>0</v>
      </c>
      <c r="I480" s="116" t="s">
        <v>322</v>
      </c>
      <c r="J480" s="117">
        <v>0</v>
      </c>
      <c r="K480" s="117">
        <v>0</v>
      </c>
      <c r="L480" s="117">
        <v>0</v>
      </c>
      <c r="M480" s="117">
        <v>0</v>
      </c>
      <c r="N480" s="117">
        <v>0</v>
      </c>
      <c r="O480" s="117">
        <v>1610.29</v>
      </c>
      <c r="P480" s="109">
        <v>1610.43</v>
      </c>
      <c r="Q480" s="109">
        <v>766.46</v>
      </c>
      <c r="R480" s="109">
        <v>9074.02</v>
      </c>
    </row>
    <row r="481" spans="1:18" x14ac:dyDescent="0.3">
      <c r="A481" s="116" t="s">
        <v>394</v>
      </c>
      <c r="B481" s="116" t="s">
        <v>322</v>
      </c>
      <c r="C481" s="116"/>
      <c r="D481" s="116" t="s">
        <v>399</v>
      </c>
      <c r="E481" s="116" t="s">
        <v>445</v>
      </c>
      <c r="F481" s="116">
        <v>40</v>
      </c>
      <c r="G481" s="117">
        <v>8832.56</v>
      </c>
      <c r="H481" s="116">
        <v>0</v>
      </c>
      <c r="I481" s="116" t="s">
        <v>322</v>
      </c>
      <c r="J481" s="117">
        <v>0</v>
      </c>
      <c r="K481" s="117">
        <v>0</v>
      </c>
      <c r="L481" s="117">
        <v>0</v>
      </c>
      <c r="M481" s="117">
        <v>0</v>
      </c>
      <c r="N481" s="117">
        <v>0</v>
      </c>
      <c r="O481" s="117">
        <v>3366.96</v>
      </c>
      <c r="P481" s="109">
        <v>1249.69</v>
      </c>
      <c r="Q481" s="109">
        <v>1070.19</v>
      </c>
      <c r="R481" s="109">
        <v>9879.64</v>
      </c>
    </row>
    <row r="482" spans="1:18" x14ac:dyDescent="0.3">
      <c r="A482" s="116" t="s">
        <v>394</v>
      </c>
      <c r="B482" s="116" t="s">
        <v>322</v>
      </c>
      <c r="C482" s="116" t="s">
        <v>382</v>
      </c>
      <c r="D482" s="116" t="s">
        <v>399</v>
      </c>
      <c r="E482" s="116" t="s">
        <v>422</v>
      </c>
      <c r="F482" s="116">
        <v>40</v>
      </c>
      <c r="G482" s="117">
        <v>9086.59</v>
      </c>
      <c r="H482" s="116">
        <v>0</v>
      </c>
      <c r="I482" s="116" t="s">
        <v>322</v>
      </c>
      <c r="J482" s="117">
        <v>0</v>
      </c>
      <c r="K482" s="117">
        <v>0</v>
      </c>
      <c r="L482" s="117">
        <v>0</v>
      </c>
      <c r="M482" s="117">
        <v>0</v>
      </c>
      <c r="N482" s="117">
        <v>0</v>
      </c>
      <c r="O482" s="117">
        <v>1903.06</v>
      </c>
      <c r="P482" s="109">
        <v>1148.67</v>
      </c>
      <c r="Q482" s="109">
        <v>1122.81</v>
      </c>
      <c r="R482" s="109">
        <v>8718.17</v>
      </c>
    </row>
    <row r="483" spans="1:18" x14ac:dyDescent="0.3">
      <c r="A483" s="116" t="s">
        <v>396</v>
      </c>
      <c r="B483" s="116" t="s">
        <v>322</v>
      </c>
      <c r="C483" s="116" t="s">
        <v>447</v>
      </c>
      <c r="D483" s="116" t="s">
        <v>399</v>
      </c>
      <c r="E483" s="116" t="s">
        <v>529</v>
      </c>
      <c r="F483" s="116">
        <v>40</v>
      </c>
      <c r="G483" s="117">
        <v>4539.3900000000003</v>
      </c>
      <c r="H483" s="116">
        <v>0</v>
      </c>
      <c r="I483" s="116" t="s">
        <v>322</v>
      </c>
      <c r="J483" s="117">
        <v>0</v>
      </c>
      <c r="K483" s="117">
        <v>0</v>
      </c>
      <c r="L483" s="117">
        <v>0</v>
      </c>
      <c r="M483" s="117">
        <v>0</v>
      </c>
      <c r="N483" s="117">
        <v>0</v>
      </c>
      <c r="O483" s="117">
        <v>2588.96</v>
      </c>
      <c r="P483" s="109">
        <v>250.83</v>
      </c>
      <c r="Q483" s="109">
        <v>594.26</v>
      </c>
      <c r="R483" s="109">
        <v>6283.26</v>
      </c>
    </row>
    <row r="484" spans="1:18" x14ac:dyDescent="0.3">
      <c r="A484" s="116" t="s">
        <v>396</v>
      </c>
      <c r="B484" s="116" t="s">
        <v>322</v>
      </c>
      <c r="C484" s="116" t="s">
        <v>451</v>
      </c>
      <c r="D484" s="116" t="s">
        <v>399</v>
      </c>
      <c r="E484" s="116" t="s">
        <v>423</v>
      </c>
      <c r="F484" s="116">
        <v>40</v>
      </c>
      <c r="G484" s="117">
        <v>3913.84</v>
      </c>
      <c r="H484" s="116">
        <v>0</v>
      </c>
      <c r="I484" s="116" t="s">
        <v>322</v>
      </c>
      <c r="J484" s="117">
        <v>0</v>
      </c>
      <c r="K484" s="117">
        <v>0</v>
      </c>
      <c r="L484" s="117">
        <v>0</v>
      </c>
      <c r="M484" s="117">
        <v>0</v>
      </c>
      <c r="N484" s="117">
        <v>0</v>
      </c>
      <c r="O484" s="117">
        <v>2601.3000000000002</v>
      </c>
      <c r="P484" s="109">
        <v>137.47999999999999</v>
      </c>
      <c r="Q484" s="109">
        <v>388.04</v>
      </c>
      <c r="R484" s="109">
        <v>5989.62</v>
      </c>
    </row>
    <row r="485" spans="1:18" x14ac:dyDescent="0.3">
      <c r="A485" s="116" t="s">
        <v>371</v>
      </c>
      <c r="B485" s="116" t="s">
        <v>322</v>
      </c>
      <c r="C485" s="116"/>
      <c r="D485" s="116" t="s">
        <v>554</v>
      </c>
      <c r="E485" s="116" t="s">
        <v>555</v>
      </c>
      <c r="F485" s="116">
        <v>40</v>
      </c>
      <c r="G485" s="118">
        <v>9397.31</v>
      </c>
      <c r="H485" s="116">
        <v>0</v>
      </c>
      <c r="I485" s="116" t="s">
        <v>322</v>
      </c>
      <c r="J485" s="118">
        <v>0</v>
      </c>
      <c r="K485" s="118">
        <v>0</v>
      </c>
      <c r="L485" s="118">
        <v>0</v>
      </c>
      <c r="M485" s="118">
        <v>0</v>
      </c>
      <c r="N485" s="118">
        <v>0</v>
      </c>
      <c r="O485" s="118">
        <v>1834.91</v>
      </c>
      <c r="P485" s="110">
        <v>1346.05</v>
      </c>
      <c r="Q485" s="110">
        <v>1284.53</v>
      </c>
      <c r="R485" s="110">
        <v>8601.64</v>
      </c>
    </row>
    <row r="486" spans="1:18" x14ac:dyDescent="0.3">
      <c r="A486" s="116" t="s">
        <v>371</v>
      </c>
      <c r="B486" s="116" t="s">
        <v>322</v>
      </c>
      <c r="C486" s="116"/>
      <c r="D486" s="116" t="s">
        <v>554</v>
      </c>
      <c r="E486" s="116" t="s">
        <v>556</v>
      </c>
      <c r="F486" s="116">
        <v>40</v>
      </c>
      <c r="G486" s="118">
        <v>10258.44</v>
      </c>
      <c r="H486" s="116">
        <v>0</v>
      </c>
      <c r="I486" s="116" t="s">
        <v>322</v>
      </c>
      <c r="J486" s="118">
        <v>0</v>
      </c>
      <c r="K486" s="118">
        <v>0</v>
      </c>
      <c r="L486" s="118">
        <v>0</v>
      </c>
      <c r="M486" s="118">
        <v>0</v>
      </c>
      <c r="N486" s="118">
        <v>0</v>
      </c>
      <c r="O486" s="118">
        <v>1903.07</v>
      </c>
      <c r="P486" s="110">
        <v>1544.98</v>
      </c>
      <c r="Q486" s="110">
        <v>1422.31</v>
      </c>
      <c r="R486" s="110">
        <v>9194.2199999999993</v>
      </c>
    </row>
    <row r="487" spans="1:18" x14ac:dyDescent="0.3">
      <c r="A487" s="116" t="s">
        <v>371</v>
      </c>
      <c r="B487" s="116" t="s">
        <v>322</v>
      </c>
      <c r="C487" s="116" t="s">
        <v>382</v>
      </c>
      <c r="D487" s="116" t="s">
        <v>554</v>
      </c>
      <c r="E487" s="116" t="s">
        <v>557</v>
      </c>
      <c r="F487" s="116">
        <v>40</v>
      </c>
      <c r="G487" s="118">
        <v>9521.7800000000007</v>
      </c>
      <c r="H487" s="116">
        <v>0</v>
      </c>
      <c r="I487" s="116" t="s">
        <v>322</v>
      </c>
      <c r="J487" s="118">
        <v>0</v>
      </c>
      <c r="K487" s="118">
        <v>0</v>
      </c>
      <c r="L487" s="118">
        <v>0</v>
      </c>
      <c r="M487" s="118">
        <v>0</v>
      </c>
      <c r="N487" s="118">
        <v>0</v>
      </c>
      <c r="O487" s="118">
        <v>3074.19</v>
      </c>
      <c r="P487" s="110">
        <v>1548.33</v>
      </c>
      <c r="Q487" s="110">
        <v>673.46</v>
      </c>
      <c r="R487" s="110">
        <v>10374.18</v>
      </c>
    </row>
    <row r="488" spans="1:18" x14ac:dyDescent="0.3">
      <c r="A488" s="116" t="s">
        <v>371</v>
      </c>
      <c r="B488" s="116" t="s">
        <v>322</v>
      </c>
      <c r="C488" s="116"/>
      <c r="D488" s="116" t="s">
        <v>554</v>
      </c>
      <c r="E488" s="116" t="s">
        <v>377</v>
      </c>
      <c r="F488" s="116">
        <v>40</v>
      </c>
      <c r="G488" s="118">
        <v>7675.75</v>
      </c>
      <c r="H488" s="116">
        <v>0</v>
      </c>
      <c r="I488" s="116" t="s">
        <v>322</v>
      </c>
      <c r="J488" s="118">
        <v>0</v>
      </c>
      <c r="K488" s="118">
        <v>0</v>
      </c>
      <c r="L488" s="118">
        <v>0</v>
      </c>
      <c r="M488" s="118">
        <v>0</v>
      </c>
      <c r="N488" s="118">
        <v>0</v>
      </c>
      <c r="O488" s="118">
        <v>3074.19</v>
      </c>
      <c r="P488" s="110">
        <v>948.37</v>
      </c>
      <c r="Q488" s="110">
        <v>1009.08</v>
      </c>
      <c r="R488" s="110">
        <v>8792.49</v>
      </c>
    </row>
    <row r="489" spans="1:18" x14ac:dyDescent="0.3">
      <c r="A489" s="116" t="s">
        <v>371</v>
      </c>
      <c r="B489" s="116" t="s">
        <v>322</v>
      </c>
      <c r="C489" s="116"/>
      <c r="D489" s="116" t="s">
        <v>554</v>
      </c>
      <c r="E489" s="116" t="s">
        <v>556</v>
      </c>
      <c r="F489" s="116">
        <v>40</v>
      </c>
      <c r="G489" s="118">
        <v>10133.84</v>
      </c>
      <c r="H489" s="116">
        <v>0</v>
      </c>
      <c r="I489" s="116" t="s">
        <v>322</v>
      </c>
      <c r="J489" s="118">
        <v>0</v>
      </c>
      <c r="K489" s="118">
        <v>0</v>
      </c>
      <c r="L489" s="118">
        <v>0</v>
      </c>
      <c r="M489" s="118">
        <v>0</v>
      </c>
      <c r="N489" s="118">
        <v>0</v>
      </c>
      <c r="O489" s="118">
        <v>1463.9</v>
      </c>
      <c r="P489" s="110">
        <v>1612.15</v>
      </c>
      <c r="Q489" s="110">
        <v>674.26</v>
      </c>
      <c r="R489" s="110">
        <v>9311.33</v>
      </c>
    </row>
    <row r="490" spans="1:18" x14ac:dyDescent="0.3">
      <c r="A490" s="116" t="s">
        <v>371</v>
      </c>
      <c r="B490" s="116" t="s">
        <v>322</v>
      </c>
      <c r="C490" s="116"/>
      <c r="D490" s="116" t="s">
        <v>554</v>
      </c>
      <c r="E490" s="116" t="s">
        <v>385</v>
      </c>
      <c r="F490" s="116">
        <v>40</v>
      </c>
      <c r="G490" s="118">
        <v>9868.2199999999993</v>
      </c>
      <c r="H490" s="116">
        <v>0</v>
      </c>
      <c r="I490" s="116" t="s">
        <v>322</v>
      </c>
      <c r="J490" s="118">
        <v>3289.41</v>
      </c>
      <c r="K490" s="118">
        <v>0</v>
      </c>
      <c r="L490" s="118">
        <v>0</v>
      </c>
      <c r="M490" s="118">
        <v>0</v>
      </c>
      <c r="N490" s="118">
        <v>0</v>
      </c>
      <c r="O490" s="118">
        <v>3074.19</v>
      </c>
      <c r="P490" s="110">
        <v>1577.84</v>
      </c>
      <c r="Q490" s="110">
        <v>1359.88</v>
      </c>
      <c r="R490" s="110">
        <v>13294.1</v>
      </c>
    </row>
    <row r="491" spans="1:18" x14ac:dyDescent="0.3">
      <c r="A491" s="116" t="s">
        <v>371</v>
      </c>
      <c r="B491" s="116" t="s">
        <v>322</v>
      </c>
      <c r="C491" s="116" t="s">
        <v>382</v>
      </c>
      <c r="D491" s="116" t="s">
        <v>554</v>
      </c>
      <c r="E491" s="116" t="s">
        <v>558</v>
      </c>
      <c r="F491" s="116">
        <v>40</v>
      </c>
      <c r="G491" s="118">
        <v>16673.939999999999</v>
      </c>
      <c r="H491" s="116">
        <v>0</v>
      </c>
      <c r="I491" s="116" t="s">
        <v>322</v>
      </c>
      <c r="J491" s="118">
        <v>0</v>
      </c>
      <c r="K491" s="118">
        <v>0</v>
      </c>
      <c r="L491" s="118">
        <v>0</v>
      </c>
      <c r="M491" s="118">
        <v>0</v>
      </c>
      <c r="N491" s="118">
        <v>0</v>
      </c>
      <c r="O491" s="118">
        <v>1833.59</v>
      </c>
      <c r="P491" s="110">
        <v>2986.51</v>
      </c>
      <c r="Q491" s="110">
        <v>2336.79</v>
      </c>
      <c r="R491" s="110">
        <v>13184.23</v>
      </c>
    </row>
    <row r="492" spans="1:18" x14ac:dyDescent="0.3">
      <c r="A492" s="116" t="s">
        <v>371</v>
      </c>
      <c r="B492" s="116" t="s">
        <v>322</v>
      </c>
      <c r="C492" s="116" t="s">
        <v>447</v>
      </c>
      <c r="D492" s="116" t="s">
        <v>554</v>
      </c>
      <c r="E492" s="116" t="s">
        <v>559</v>
      </c>
      <c r="F492" s="116">
        <v>40</v>
      </c>
      <c r="G492" s="118">
        <v>9816.9699999999993</v>
      </c>
      <c r="H492" s="116">
        <v>0</v>
      </c>
      <c r="I492" s="116" t="s">
        <v>322</v>
      </c>
      <c r="J492" s="118">
        <v>0</v>
      </c>
      <c r="K492" s="118">
        <v>0</v>
      </c>
      <c r="L492" s="118">
        <v>0</v>
      </c>
      <c r="M492" s="118">
        <v>0</v>
      </c>
      <c r="N492" s="118">
        <v>0</v>
      </c>
      <c r="O492" s="118">
        <v>3074.19</v>
      </c>
      <c r="P492" s="110">
        <v>1520.58</v>
      </c>
      <c r="Q492" s="110">
        <v>1069.54</v>
      </c>
      <c r="R492" s="110">
        <v>10301.040000000001</v>
      </c>
    </row>
    <row r="493" spans="1:18" x14ac:dyDescent="0.3">
      <c r="A493" s="116" t="s">
        <v>371</v>
      </c>
      <c r="B493" s="116" t="s">
        <v>322</v>
      </c>
      <c r="C493" s="116" t="s">
        <v>375</v>
      </c>
      <c r="D493" s="116" t="s">
        <v>554</v>
      </c>
      <c r="E493" s="116" t="s">
        <v>387</v>
      </c>
      <c r="F493" s="116">
        <v>40</v>
      </c>
      <c r="G493" s="118">
        <v>12727.36</v>
      </c>
      <c r="H493" s="116">
        <v>0</v>
      </c>
      <c r="I493" s="116" t="s">
        <v>322</v>
      </c>
      <c r="J493" s="118">
        <v>0</v>
      </c>
      <c r="K493" s="118">
        <v>0</v>
      </c>
      <c r="L493" s="118">
        <v>0</v>
      </c>
      <c r="M493" s="118">
        <v>0</v>
      </c>
      <c r="N493" s="118">
        <v>0</v>
      </c>
      <c r="O493" s="118">
        <v>1903.07</v>
      </c>
      <c r="P493" s="110">
        <v>2152.59</v>
      </c>
      <c r="Q493" s="110">
        <v>1112.95</v>
      </c>
      <c r="R493" s="110">
        <v>11364.89</v>
      </c>
    </row>
    <row r="494" spans="1:18" x14ac:dyDescent="0.3">
      <c r="A494" s="116" t="s">
        <v>371</v>
      </c>
      <c r="B494" s="116" t="s">
        <v>322</v>
      </c>
      <c r="C494" s="116"/>
      <c r="D494" s="116" t="s">
        <v>554</v>
      </c>
      <c r="E494" s="116" t="s">
        <v>560</v>
      </c>
      <c r="F494" s="116">
        <v>40</v>
      </c>
      <c r="G494" s="118">
        <v>4717.25</v>
      </c>
      <c r="H494" s="116">
        <v>0</v>
      </c>
      <c r="I494" s="116" t="s">
        <v>322</v>
      </c>
      <c r="J494" s="118">
        <v>0</v>
      </c>
      <c r="K494" s="118">
        <v>0</v>
      </c>
      <c r="L494" s="118">
        <v>0</v>
      </c>
      <c r="M494" s="118">
        <v>0</v>
      </c>
      <c r="N494" s="118">
        <v>0</v>
      </c>
      <c r="O494" s="118">
        <v>2080.06</v>
      </c>
      <c r="P494" s="110">
        <v>290.85000000000002</v>
      </c>
      <c r="Q494" s="110">
        <v>486.35</v>
      </c>
      <c r="R494" s="110">
        <v>6020.11</v>
      </c>
    </row>
    <row r="495" spans="1:18" x14ac:dyDescent="0.3">
      <c r="A495" s="116" t="s">
        <v>371</v>
      </c>
      <c r="B495" s="116" t="s">
        <v>322</v>
      </c>
      <c r="C495" s="116"/>
      <c r="D495" s="116" t="s">
        <v>554</v>
      </c>
      <c r="E495" s="116" t="s">
        <v>561</v>
      </c>
      <c r="F495" s="116">
        <v>40</v>
      </c>
      <c r="G495" s="118">
        <v>7368.95</v>
      </c>
      <c r="H495" s="116">
        <v>0</v>
      </c>
      <c r="I495" s="116" t="s">
        <v>322</v>
      </c>
      <c r="J495" s="118">
        <v>0</v>
      </c>
      <c r="K495" s="118">
        <v>0</v>
      </c>
      <c r="L495" s="118">
        <v>0</v>
      </c>
      <c r="M495" s="118">
        <v>0</v>
      </c>
      <c r="N495" s="118">
        <v>0</v>
      </c>
      <c r="O495" s="118">
        <v>2781.41</v>
      </c>
      <c r="P495" s="110">
        <v>877.31</v>
      </c>
      <c r="Q495" s="110">
        <v>960.69</v>
      </c>
      <c r="R495" s="110">
        <v>8312.36</v>
      </c>
    </row>
    <row r="496" spans="1:18" x14ac:dyDescent="0.3">
      <c r="A496" s="116" t="s">
        <v>371</v>
      </c>
      <c r="B496" s="116" t="s">
        <v>322</v>
      </c>
      <c r="C496" s="116"/>
      <c r="D496" s="116" t="s">
        <v>554</v>
      </c>
      <c r="E496" s="116" t="s">
        <v>562</v>
      </c>
      <c r="F496" s="116">
        <v>40</v>
      </c>
      <c r="G496" s="118">
        <v>7373.76</v>
      </c>
      <c r="H496" s="116">
        <v>0</v>
      </c>
      <c r="I496" s="116" t="s">
        <v>322</v>
      </c>
      <c r="J496" s="118">
        <v>0</v>
      </c>
      <c r="K496" s="118">
        <v>0</v>
      </c>
      <c r="L496" s="118">
        <v>0</v>
      </c>
      <c r="M496" s="118">
        <v>0</v>
      </c>
      <c r="N496" s="118">
        <v>0</v>
      </c>
      <c r="O496" s="118">
        <v>3074.19</v>
      </c>
      <c r="P496" s="110">
        <v>878.43</v>
      </c>
      <c r="Q496" s="110">
        <v>961.43</v>
      </c>
      <c r="R496" s="110">
        <v>8608.09</v>
      </c>
    </row>
    <row r="497" spans="1:18" x14ac:dyDescent="0.3">
      <c r="A497" s="116" t="s">
        <v>371</v>
      </c>
      <c r="B497" s="116" t="s">
        <v>322</v>
      </c>
      <c r="C497" s="116"/>
      <c r="D497" s="116" t="s">
        <v>554</v>
      </c>
      <c r="E497" s="116" t="s">
        <v>325</v>
      </c>
      <c r="F497" s="116">
        <v>40</v>
      </c>
      <c r="G497" s="118">
        <v>14431.59</v>
      </c>
      <c r="H497" s="116">
        <v>0</v>
      </c>
      <c r="I497" s="116" t="s">
        <v>322</v>
      </c>
      <c r="J497" s="118">
        <v>0</v>
      </c>
      <c r="K497" s="118">
        <v>0</v>
      </c>
      <c r="L497" s="118">
        <v>0</v>
      </c>
      <c r="M497" s="118">
        <v>0</v>
      </c>
      <c r="N497" s="118">
        <v>0</v>
      </c>
      <c r="O497" s="118">
        <v>2342.2399999999998</v>
      </c>
      <c r="P497" s="110">
        <v>2508.9699999999998</v>
      </c>
      <c r="Q497" s="110">
        <v>2090.0100000000002</v>
      </c>
      <c r="R497" s="110">
        <v>12174.85</v>
      </c>
    </row>
    <row r="498" spans="1:18" x14ac:dyDescent="0.3">
      <c r="A498" s="116" t="s">
        <v>371</v>
      </c>
      <c r="B498" s="116" t="s">
        <v>322</v>
      </c>
      <c r="C498" s="116"/>
      <c r="D498" s="116" t="s">
        <v>554</v>
      </c>
      <c r="E498" s="116" t="s">
        <v>561</v>
      </c>
      <c r="F498" s="116">
        <v>40</v>
      </c>
      <c r="G498" s="118">
        <v>8446.43</v>
      </c>
      <c r="H498" s="116">
        <v>0</v>
      </c>
      <c r="I498" s="116" t="s">
        <v>322</v>
      </c>
      <c r="J498" s="118">
        <v>0</v>
      </c>
      <c r="K498" s="118">
        <v>0</v>
      </c>
      <c r="L498" s="118">
        <v>0</v>
      </c>
      <c r="M498" s="118">
        <v>0</v>
      </c>
      <c r="N498" s="118">
        <v>0</v>
      </c>
      <c r="O498" s="118">
        <v>1610.29</v>
      </c>
      <c r="P498" s="110">
        <v>969.99</v>
      </c>
      <c r="Q498" s="110">
        <v>1132.3900000000001</v>
      </c>
      <c r="R498" s="110">
        <v>7954.34</v>
      </c>
    </row>
    <row r="499" spans="1:18" x14ac:dyDescent="0.3">
      <c r="A499" s="116" t="s">
        <v>371</v>
      </c>
      <c r="B499" s="116" t="s">
        <v>322</v>
      </c>
      <c r="C499" s="116"/>
      <c r="D499" s="116" t="s">
        <v>554</v>
      </c>
      <c r="E499" s="116" t="s">
        <v>325</v>
      </c>
      <c r="F499" s="116">
        <v>40</v>
      </c>
      <c r="G499" s="118">
        <v>14996.47</v>
      </c>
      <c r="H499" s="116">
        <v>0</v>
      </c>
      <c r="I499" s="116" t="s">
        <v>322</v>
      </c>
      <c r="J499" s="118">
        <v>0</v>
      </c>
      <c r="K499" s="118">
        <v>0</v>
      </c>
      <c r="L499" s="118">
        <v>0</v>
      </c>
      <c r="M499" s="118">
        <v>0</v>
      </c>
      <c r="N499" s="118">
        <v>0</v>
      </c>
      <c r="O499" s="118">
        <v>2927.8</v>
      </c>
      <c r="P499" s="110">
        <v>2821.66</v>
      </c>
      <c r="Q499" s="110">
        <v>1517.86</v>
      </c>
      <c r="R499" s="110">
        <v>13584.75</v>
      </c>
    </row>
    <row r="500" spans="1:18" x14ac:dyDescent="0.3">
      <c r="A500" s="116" t="s">
        <v>371</v>
      </c>
      <c r="B500" s="116" t="s">
        <v>322</v>
      </c>
      <c r="C500" s="116"/>
      <c r="D500" s="116" t="s">
        <v>554</v>
      </c>
      <c r="E500" s="116" t="s">
        <v>559</v>
      </c>
      <c r="F500" s="116">
        <v>40</v>
      </c>
      <c r="G500" s="118">
        <v>7376.02</v>
      </c>
      <c r="H500" s="116">
        <v>0</v>
      </c>
      <c r="I500" s="116" t="s">
        <v>322</v>
      </c>
      <c r="J500" s="118">
        <v>0</v>
      </c>
      <c r="K500" s="118">
        <v>0</v>
      </c>
      <c r="L500" s="118">
        <v>0</v>
      </c>
      <c r="M500" s="118">
        <v>0</v>
      </c>
      <c r="N500" s="118">
        <v>0</v>
      </c>
      <c r="O500" s="118">
        <v>0</v>
      </c>
      <c r="P500" s="110">
        <v>878.96</v>
      </c>
      <c r="Q500" s="110">
        <v>961.78</v>
      </c>
      <c r="R500" s="110">
        <v>5535.28</v>
      </c>
    </row>
    <row r="501" spans="1:18" x14ac:dyDescent="0.3">
      <c r="A501" s="116" t="s">
        <v>371</v>
      </c>
      <c r="B501" s="116" t="s">
        <v>322</v>
      </c>
      <c r="C501" s="116"/>
      <c r="D501" s="116" t="s">
        <v>554</v>
      </c>
      <c r="E501" s="116" t="s">
        <v>560</v>
      </c>
      <c r="F501" s="116">
        <v>40</v>
      </c>
      <c r="G501" s="118">
        <v>4717.25</v>
      </c>
      <c r="H501" s="116">
        <v>0</v>
      </c>
      <c r="I501" s="116" t="s">
        <v>322</v>
      </c>
      <c r="J501" s="118">
        <v>0</v>
      </c>
      <c r="K501" s="118">
        <v>0</v>
      </c>
      <c r="L501" s="118">
        <v>0</v>
      </c>
      <c r="M501" s="118">
        <v>0</v>
      </c>
      <c r="N501" s="118">
        <v>0</v>
      </c>
      <c r="O501" s="118">
        <v>1651.52</v>
      </c>
      <c r="P501" s="110">
        <v>290.85000000000002</v>
      </c>
      <c r="Q501" s="110">
        <v>486.35</v>
      </c>
      <c r="R501" s="110">
        <v>5591.57</v>
      </c>
    </row>
    <row r="502" spans="1:18" x14ac:dyDescent="0.3">
      <c r="A502" s="116" t="s">
        <v>371</v>
      </c>
      <c r="B502" s="116" t="s">
        <v>322</v>
      </c>
      <c r="C502" s="116" t="s">
        <v>382</v>
      </c>
      <c r="D502" s="116" t="s">
        <v>554</v>
      </c>
      <c r="E502" s="116" t="s">
        <v>563</v>
      </c>
      <c r="F502" s="116">
        <v>40</v>
      </c>
      <c r="G502" s="118">
        <v>10917.9</v>
      </c>
      <c r="H502" s="116">
        <v>0</v>
      </c>
      <c r="I502" s="116" t="s">
        <v>322</v>
      </c>
      <c r="J502" s="118">
        <v>0</v>
      </c>
      <c r="K502" s="118">
        <v>0</v>
      </c>
      <c r="L502" s="118">
        <v>0</v>
      </c>
      <c r="M502" s="118">
        <v>0</v>
      </c>
      <c r="N502" s="118">
        <v>0</v>
      </c>
      <c r="O502" s="118">
        <v>2635.01</v>
      </c>
      <c r="P502" s="110">
        <v>1728.11</v>
      </c>
      <c r="Q502" s="110">
        <v>1415.82</v>
      </c>
      <c r="R502" s="110">
        <v>10408.98</v>
      </c>
    </row>
    <row r="503" spans="1:18" x14ac:dyDescent="0.3">
      <c r="A503" s="116" t="s">
        <v>371</v>
      </c>
      <c r="B503" s="116" t="s">
        <v>322</v>
      </c>
      <c r="C503" s="116"/>
      <c r="D503" s="116" t="s">
        <v>554</v>
      </c>
      <c r="E503" s="116" t="s">
        <v>385</v>
      </c>
      <c r="F503" s="116">
        <v>40</v>
      </c>
      <c r="G503" s="118">
        <v>9627.07</v>
      </c>
      <c r="H503" s="116">
        <v>0</v>
      </c>
      <c r="I503" s="116" t="s">
        <v>322</v>
      </c>
      <c r="J503" s="118">
        <v>0</v>
      </c>
      <c r="K503" s="118">
        <v>0</v>
      </c>
      <c r="L503" s="118">
        <v>0</v>
      </c>
      <c r="M503" s="118">
        <v>0</v>
      </c>
      <c r="N503" s="118">
        <v>0</v>
      </c>
      <c r="O503" s="118">
        <v>1756.68</v>
      </c>
      <c r="P503" s="110">
        <v>1331.81</v>
      </c>
      <c r="Q503" s="110">
        <v>1321.29</v>
      </c>
      <c r="R503" s="110">
        <v>8730.65</v>
      </c>
    </row>
    <row r="504" spans="1:18" x14ac:dyDescent="0.3">
      <c r="A504" s="116" t="s">
        <v>371</v>
      </c>
      <c r="B504" s="116" t="s">
        <v>322</v>
      </c>
      <c r="C504" s="116"/>
      <c r="D504" s="116" t="s">
        <v>554</v>
      </c>
      <c r="E504" s="116" t="s">
        <v>559</v>
      </c>
      <c r="F504" s="116">
        <v>40</v>
      </c>
      <c r="G504" s="118">
        <v>4717.25</v>
      </c>
      <c r="H504" s="116">
        <v>0</v>
      </c>
      <c r="I504" s="116" t="s">
        <v>322</v>
      </c>
      <c r="J504" s="118">
        <v>0</v>
      </c>
      <c r="K504" s="118">
        <v>0</v>
      </c>
      <c r="L504" s="118">
        <v>0</v>
      </c>
      <c r="M504" s="118">
        <v>0</v>
      </c>
      <c r="N504" s="118">
        <v>0</v>
      </c>
      <c r="O504" s="118">
        <v>2533.08</v>
      </c>
      <c r="P504" s="110">
        <v>877.61</v>
      </c>
      <c r="Q504" s="110">
        <v>840.98</v>
      </c>
      <c r="R504" s="110">
        <v>5531.74</v>
      </c>
    </row>
    <row r="505" spans="1:18" x14ac:dyDescent="0.3">
      <c r="A505" s="116" t="s">
        <v>371</v>
      </c>
      <c r="B505" s="116" t="s">
        <v>322</v>
      </c>
      <c r="C505" s="116"/>
      <c r="D505" s="116" t="s">
        <v>554</v>
      </c>
      <c r="E505" s="116" t="s">
        <v>564</v>
      </c>
      <c r="F505" s="116">
        <v>40</v>
      </c>
      <c r="G505" s="118">
        <v>9797.58</v>
      </c>
      <c r="H505" s="116">
        <v>0</v>
      </c>
      <c r="I505" s="116" t="s">
        <v>322</v>
      </c>
      <c r="J505" s="118">
        <v>0</v>
      </c>
      <c r="K505" s="118">
        <v>0</v>
      </c>
      <c r="L505" s="118">
        <v>0</v>
      </c>
      <c r="M505" s="118">
        <v>0</v>
      </c>
      <c r="N505" s="118">
        <v>0</v>
      </c>
      <c r="O505" s="118">
        <v>3074.19</v>
      </c>
      <c r="P505" s="110">
        <v>1438.52</v>
      </c>
      <c r="Q505" s="110">
        <v>1348.57</v>
      </c>
      <c r="R505" s="110">
        <v>10084.68</v>
      </c>
    </row>
    <row r="506" spans="1:18" x14ac:dyDescent="0.3">
      <c r="A506" s="116" t="s">
        <v>371</v>
      </c>
      <c r="B506" s="116" t="s">
        <v>322</v>
      </c>
      <c r="C506" s="116" t="s">
        <v>382</v>
      </c>
      <c r="D506" s="116" t="s">
        <v>554</v>
      </c>
      <c r="E506" s="116" t="s">
        <v>565</v>
      </c>
      <c r="F506" s="116">
        <v>40</v>
      </c>
      <c r="G506" s="118">
        <v>12927.46</v>
      </c>
      <c r="H506" s="116">
        <v>0</v>
      </c>
      <c r="I506" s="116" t="s">
        <v>322</v>
      </c>
      <c r="J506" s="118">
        <v>0</v>
      </c>
      <c r="K506" s="118">
        <v>0</v>
      </c>
      <c r="L506" s="118">
        <v>0</v>
      </c>
      <c r="M506" s="118">
        <v>0</v>
      </c>
      <c r="N506" s="118">
        <v>0</v>
      </c>
      <c r="O506" s="118">
        <v>3220.57</v>
      </c>
      <c r="P506" s="110">
        <v>1983.77</v>
      </c>
      <c r="Q506" s="110">
        <v>1737.35</v>
      </c>
      <c r="R506" s="110">
        <v>12426.91</v>
      </c>
    </row>
    <row r="507" spans="1:18" x14ac:dyDescent="0.3">
      <c r="A507" s="116" t="s">
        <v>371</v>
      </c>
      <c r="B507" s="116" t="s">
        <v>322</v>
      </c>
      <c r="C507" s="116"/>
      <c r="D507" s="116" t="s">
        <v>554</v>
      </c>
      <c r="E507" s="116" t="s">
        <v>565</v>
      </c>
      <c r="F507" s="116">
        <v>40</v>
      </c>
      <c r="G507" s="118">
        <v>7684</v>
      </c>
      <c r="H507" s="116">
        <v>0</v>
      </c>
      <c r="I507" s="116" t="s">
        <v>322</v>
      </c>
      <c r="J507" s="118">
        <v>0</v>
      </c>
      <c r="K507" s="118">
        <v>0</v>
      </c>
      <c r="L507" s="118">
        <v>0</v>
      </c>
      <c r="M507" s="118">
        <v>0</v>
      </c>
      <c r="N507" s="118">
        <v>0</v>
      </c>
      <c r="O507" s="118">
        <v>2927.79</v>
      </c>
      <c r="P507" s="110">
        <v>950.28</v>
      </c>
      <c r="Q507" s="110">
        <v>1010.4</v>
      </c>
      <c r="R507" s="110">
        <v>8651.11</v>
      </c>
    </row>
    <row r="508" spans="1:18" x14ac:dyDescent="0.3">
      <c r="A508" s="116" t="s">
        <v>371</v>
      </c>
      <c r="B508" s="116" t="s">
        <v>322</v>
      </c>
      <c r="C508" s="116"/>
      <c r="D508" s="116" t="s">
        <v>554</v>
      </c>
      <c r="E508" s="116" t="s">
        <v>566</v>
      </c>
      <c r="F508" s="116">
        <v>40</v>
      </c>
      <c r="G508" s="118">
        <v>13893.27</v>
      </c>
      <c r="H508" s="116">
        <v>0</v>
      </c>
      <c r="I508" s="116" t="s">
        <v>322</v>
      </c>
      <c r="J508" s="118">
        <v>0</v>
      </c>
      <c r="K508" s="118">
        <v>0</v>
      </c>
      <c r="L508" s="118">
        <v>0</v>
      </c>
      <c r="M508" s="118">
        <v>0</v>
      </c>
      <c r="N508" s="118">
        <v>0</v>
      </c>
      <c r="O508" s="118">
        <v>2927.8</v>
      </c>
      <c r="P508" s="110">
        <v>2413.66</v>
      </c>
      <c r="Q508" s="110">
        <v>1329.52</v>
      </c>
      <c r="R508" s="110">
        <v>13077.89</v>
      </c>
    </row>
    <row r="509" spans="1:18" x14ac:dyDescent="0.3">
      <c r="A509" s="116" t="s">
        <v>371</v>
      </c>
      <c r="B509" s="116" t="s">
        <v>322</v>
      </c>
      <c r="C509" s="116"/>
      <c r="D509" s="116" t="s">
        <v>554</v>
      </c>
      <c r="E509" s="116" t="s">
        <v>567</v>
      </c>
      <c r="F509" s="116">
        <v>40</v>
      </c>
      <c r="G509" s="118">
        <v>8048.45</v>
      </c>
      <c r="H509" s="116">
        <v>0</v>
      </c>
      <c r="I509" s="116" t="s">
        <v>322</v>
      </c>
      <c r="J509" s="118">
        <v>0</v>
      </c>
      <c r="K509" s="118">
        <v>0</v>
      </c>
      <c r="L509" s="118">
        <v>0</v>
      </c>
      <c r="M509" s="118">
        <v>0</v>
      </c>
      <c r="N509" s="118">
        <v>0</v>
      </c>
      <c r="O509" s="118">
        <v>3074.19</v>
      </c>
      <c r="P509" s="110">
        <v>1034.47</v>
      </c>
      <c r="Q509" s="110">
        <v>1068.71</v>
      </c>
      <c r="R509" s="110">
        <v>9019.4599999999991</v>
      </c>
    </row>
    <row r="510" spans="1:18" x14ac:dyDescent="0.3">
      <c r="A510" s="116" t="s">
        <v>371</v>
      </c>
      <c r="B510" s="116" t="s">
        <v>322</v>
      </c>
      <c r="C510" s="116"/>
      <c r="D510" s="116" t="s">
        <v>554</v>
      </c>
      <c r="E510" s="116" t="s">
        <v>377</v>
      </c>
      <c r="F510" s="116">
        <v>40</v>
      </c>
      <c r="G510" s="118">
        <v>7378.03</v>
      </c>
      <c r="H510" s="116">
        <v>0</v>
      </c>
      <c r="I510" s="116" t="s">
        <v>322</v>
      </c>
      <c r="J510" s="118">
        <v>0</v>
      </c>
      <c r="K510" s="118">
        <v>0</v>
      </c>
      <c r="L510" s="118">
        <v>0</v>
      </c>
      <c r="M510" s="118">
        <v>0</v>
      </c>
      <c r="N510" s="118">
        <v>0</v>
      </c>
      <c r="O510" s="118">
        <v>3074.19</v>
      </c>
      <c r="P510" s="110">
        <v>827.28</v>
      </c>
      <c r="Q510" s="110">
        <v>962.09</v>
      </c>
      <c r="R510" s="110">
        <v>8662.85</v>
      </c>
    </row>
    <row r="511" spans="1:18" x14ac:dyDescent="0.3">
      <c r="A511" s="116" t="s">
        <v>371</v>
      </c>
      <c r="B511" s="116" t="s">
        <v>322</v>
      </c>
      <c r="C511" s="116"/>
      <c r="D511" s="116" t="s">
        <v>554</v>
      </c>
      <c r="E511" s="116" t="s">
        <v>568</v>
      </c>
      <c r="F511" s="116">
        <v>40</v>
      </c>
      <c r="G511" s="118">
        <v>4717.25</v>
      </c>
      <c r="H511" s="116">
        <v>0</v>
      </c>
      <c r="I511" s="116" t="s">
        <v>322</v>
      </c>
      <c r="J511" s="118">
        <v>0</v>
      </c>
      <c r="K511" s="118">
        <v>0</v>
      </c>
      <c r="L511" s="118">
        <v>0</v>
      </c>
      <c r="M511" s="118">
        <v>0</v>
      </c>
      <c r="N511" s="118">
        <v>0</v>
      </c>
      <c r="O511" s="118">
        <v>3118.47</v>
      </c>
      <c r="P511" s="110">
        <v>290.85000000000002</v>
      </c>
      <c r="Q511" s="110">
        <v>486.35</v>
      </c>
      <c r="R511" s="110">
        <v>7058.52</v>
      </c>
    </row>
    <row r="512" spans="1:18" x14ac:dyDescent="0.3">
      <c r="A512" s="116" t="s">
        <v>371</v>
      </c>
      <c r="B512" s="116" t="s">
        <v>322</v>
      </c>
      <c r="C512" s="116"/>
      <c r="D512" s="116" t="s">
        <v>554</v>
      </c>
      <c r="E512" s="116" t="s">
        <v>567</v>
      </c>
      <c r="F512" s="116">
        <v>40</v>
      </c>
      <c r="G512" s="118">
        <v>7349.76</v>
      </c>
      <c r="H512" s="116">
        <v>0</v>
      </c>
      <c r="I512" s="116" t="s">
        <v>322</v>
      </c>
      <c r="J512" s="118">
        <v>0</v>
      </c>
      <c r="K512" s="118">
        <v>0</v>
      </c>
      <c r="L512" s="118">
        <v>0</v>
      </c>
      <c r="M512" s="118">
        <v>0</v>
      </c>
      <c r="N512" s="118">
        <v>0</v>
      </c>
      <c r="O512" s="118">
        <v>1610.29</v>
      </c>
      <c r="P512" s="110">
        <v>872.85</v>
      </c>
      <c r="Q512" s="110">
        <v>957.71</v>
      </c>
      <c r="R512" s="110">
        <v>7129.49</v>
      </c>
    </row>
    <row r="513" spans="1:18" x14ac:dyDescent="0.3">
      <c r="A513" s="116" t="s">
        <v>371</v>
      </c>
      <c r="B513" s="116" t="s">
        <v>322</v>
      </c>
      <c r="C513" s="116"/>
      <c r="D513" s="116" t="s">
        <v>554</v>
      </c>
      <c r="E513" s="116" t="s">
        <v>562</v>
      </c>
      <c r="F513" s="116">
        <v>40</v>
      </c>
      <c r="G513" s="118">
        <v>7693.68</v>
      </c>
      <c r="H513" s="116">
        <v>0</v>
      </c>
      <c r="I513" s="116" t="s">
        <v>322</v>
      </c>
      <c r="J513" s="118">
        <v>0</v>
      </c>
      <c r="K513" s="118">
        <v>0</v>
      </c>
      <c r="L513" s="118">
        <v>0</v>
      </c>
      <c r="M513" s="118">
        <v>0</v>
      </c>
      <c r="N513" s="118">
        <v>0</v>
      </c>
      <c r="O513" s="118">
        <v>3074.19</v>
      </c>
      <c r="P513" s="110">
        <v>952.52</v>
      </c>
      <c r="Q513" s="110">
        <v>1011.95</v>
      </c>
      <c r="R513" s="110">
        <v>8803.4</v>
      </c>
    </row>
    <row r="514" spans="1:18" x14ac:dyDescent="0.3">
      <c r="A514" s="116" t="s">
        <v>371</v>
      </c>
      <c r="B514" s="116" t="s">
        <v>322</v>
      </c>
      <c r="C514" s="116"/>
      <c r="D514" s="116" t="s">
        <v>554</v>
      </c>
      <c r="E514" s="116" t="s">
        <v>556</v>
      </c>
      <c r="F514" s="116">
        <v>40</v>
      </c>
      <c r="G514" s="118">
        <v>10258.02</v>
      </c>
      <c r="H514" s="116">
        <v>0</v>
      </c>
      <c r="I514" s="116" t="s">
        <v>322</v>
      </c>
      <c r="J514" s="118">
        <v>0</v>
      </c>
      <c r="K514" s="118">
        <v>0</v>
      </c>
      <c r="L514" s="118">
        <v>0</v>
      </c>
      <c r="M514" s="118">
        <v>0</v>
      </c>
      <c r="N514" s="118">
        <v>0</v>
      </c>
      <c r="O514" s="118">
        <v>3366.96</v>
      </c>
      <c r="P514" s="110">
        <v>1492.74</v>
      </c>
      <c r="Q514" s="110">
        <v>1422.24</v>
      </c>
      <c r="R514" s="110">
        <v>10710</v>
      </c>
    </row>
    <row r="515" spans="1:18" x14ac:dyDescent="0.3">
      <c r="A515" s="116" t="s">
        <v>371</v>
      </c>
      <c r="B515" s="116" t="s">
        <v>322</v>
      </c>
      <c r="C515" s="116"/>
      <c r="D515" s="116" t="s">
        <v>554</v>
      </c>
      <c r="E515" s="116" t="s">
        <v>561</v>
      </c>
      <c r="F515" s="116">
        <v>40</v>
      </c>
      <c r="G515" s="118">
        <v>7688.76</v>
      </c>
      <c r="H515" s="116">
        <v>0</v>
      </c>
      <c r="I515" s="116" t="s">
        <v>322</v>
      </c>
      <c r="J515" s="118">
        <v>0</v>
      </c>
      <c r="K515" s="118">
        <v>0</v>
      </c>
      <c r="L515" s="118">
        <v>0</v>
      </c>
      <c r="M515" s="118">
        <v>0</v>
      </c>
      <c r="N515" s="118">
        <v>0</v>
      </c>
      <c r="O515" s="118">
        <v>3074.19</v>
      </c>
      <c r="P515" s="110">
        <v>847.11</v>
      </c>
      <c r="Q515" s="110">
        <v>1011.16</v>
      </c>
      <c r="R515" s="110">
        <v>8904.68</v>
      </c>
    </row>
    <row r="516" spans="1:18" x14ac:dyDescent="0.3">
      <c r="A516" s="116" t="s">
        <v>371</v>
      </c>
      <c r="B516" s="116" t="s">
        <v>322</v>
      </c>
      <c r="C516" s="116" t="s">
        <v>375</v>
      </c>
      <c r="D516" s="116" t="s">
        <v>554</v>
      </c>
      <c r="E516" s="116" t="s">
        <v>569</v>
      </c>
      <c r="F516" s="116">
        <v>40</v>
      </c>
      <c r="G516" s="118">
        <v>14008.89</v>
      </c>
      <c r="H516" s="116">
        <v>0</v>
      </c>
      <c r="I516" s="116" t="s">
        <v>322</v>
      </c>
      <c r="J516" s="118">
        <v>0</v>
      </c>
      <c r="K516" s="118">
        <v>0</v>
      </c>
      <c r="L516" s="118">
        <v>0</v>
      </c>
      <c r="M516" s="118">
        <v>0</v>
      </c>
      <c r="N516" s="118">
        <v>0</v>
      </c>
      <c r="O516" s="118">
        <v>1610.29</v>
      </c>
      <c r="P516" s="110">
        <v>2552.9</v>
      </c>
      <c r="Q516" s="110">
        <v>1318</v>
      </c>
      <c r="R516" s="110">
        <v>11748.28</v>
      </c>
    </row>
    <row r="517" spans="1:18" x14ac:dyDescent="0.3">
      <c r="A517" s="116" t="s">
        <v>371</v>
      </c>
      <c r="B517" s="116" t="s">
        <v>322</v>
      </c>
      <c r="C517" s="116" t="s">
        <v>570</v>
      </c>
      <c r="D517" s="116" t="s">
        <v>554</v>
      </c>
      <c r="E517" s="116" t="s">
        <v>566</v>
      </c>
      <c r="F517" s="116">
        <v>40</v>
      </c>
      <c r="G517" s="118">
        <v>8613.7000000000007</v>
      </c>
      <c r="H517" s="116">
        <v>0</v>
      </c>
      <c r="I517" s="116" t="s">
        <v>322</v>
      </c>
      <c r="J517" s="118">
        <v>0</v>
      </c>
      <c r="K517" s="118">
        <v>0</v>
      </c>
      <c r="L517" s="118">
        <v>0</v>
      </c>
      <c r="M517" s="118">
        <v>0</v>
      </c>
      <c r="N517" s="118">
        <v>0</v>
      </c>
      <c r="O517" s="118">
        <v>3074.19</v>
      </c>
      <c r="P517" s="110">
        <v>1191.68</v>
      </c>
      <c r="Q517" s="110">
        <v>1062.3</v>
      </c>
      <c r="R517" s="110">
        <v>9433.91</v>
      </c>
    </row>
    <row r="518" spans="1:18" x14ac:dyDescent="0.3">
      <c r="A518" s="116" t="s">
        <v>371</v>
      </c>
      <c r="B518" s="116" t="s">
        <v>322</v>
      </c>
      <c r="C518" s="116"/>
      <c r="D518" s="116" t="s">
        <v>554</v>
      </c>
      <c r="E518" s="116" t="s">
        <v>556</v>
      </c>
      <c r="F518" s="116">
        <v>40</v>
      </c>
      <c r="G518" s="118">
        <v>9728.8700000000008</v>
      </c>
      <c r="H518" s="116">
        <v>0</v>
      </c>
      <c r="I518" s="116" t="s">
        <v>322</v>
      </c>
      <c r="J518" s="118">
        <v>0</v>
      </c>
      <c r="K518" s="118">
        <v>0</v>
      </c>
      <c r="L518" s="118">
        <v>0</v>
      </c>
      <c r="M518" s="118">
        <v>0</v>
      </c>
      <c r="N518" s="118">
        <v>0</v>
      </c>
      <c r="O518" s="118">
        <v>1171.1099999999999</v>
      </c>
      <c r="P518" s="110">
        <v>1422.64</v>
      </c>
      <c r="Q518" s="110">
        <v>1337.58</v>
      </c>
      <c r="R518" s="110">
        <v>8139.76</v>
      </c>
    </row>
    <row r="519" spans="1:18" x14ac:dyDescent="0.3">
      <c r="A519" s="116" t="s">
        <v>371</v>
      </c>
      <c r="B519" s="116" t="s">
        <v>322</v>
      </c>
      <c r="C519" s="116"/>
      <c r="D519" s="116" t="s">
        <v>554</v>
      </c>
      <c r="E519" s="116" t="s">
        <v>560</v>
      </c>
      <c r="F519" s="116">
        <v>40</v>
      </c>
      <c r="G519" s="118">
        <v>13561.85</v>
      </c>
      <c r="H519" s="116">
        <v>0</v>
      </c>
      <c r="I519" s="116" t="s">
        <v>322</v>
      </c>
      <c r="J519" s="118">
        <v>0</v>
      </c>
      <c r="K519" s="118">
        <v>0</v>
      </c>
      <c r="L519" s="118">
        <v>0</v>
      </c>
      <c r="M519" s="118">
        <v>0</v>
      </c>
      <c r="N519" s="118">
        <v>0</v>
      </c>
      <c r="O519" s="118">
        <v>1463.9</v>
      </c>
      <c r="P519" s="110">
        <v>2240.7399999999998</v>
      </c>
      <c r="Q519" s="110">
        <v>1950.86</v>
      </c>
      <c r="R519" s="110">
        <v>10834.15</v>
      </c>
    </row>
    <row r="520" spans="1:18" x14ac:dyDescent="0.3">
      <c r="A520" s="116" t="s">
        <v>371</v>
      </c>
      <c r="B520" s="116" t="s">
        <v>322</v>
      </c>
      <c r="C520" s="116"/>
      <c r="D520" s="116" t="s">
        <v>554</v>
      </c>
      <c r="E520" s="116" t="s">
        <v>571</v>
      </c>
      <c r="F520" s="116">
        <v>40</v>
      </c>
      <c r="G520" s="118">
        <v>9181.81</v>
      </c>
      <c r="H520" s="116">
        <v>0</v>
      </c>
      <c r="I520" s="116" t="s">
        <v>322</v>
      </c>
      <c r="J520" s="118">
        <v>0</v>
      </c>
      <c r="K520" s="118">
        <v>0</v>
      </c>
      <c r="L520" s="118">
        <v>0</v>
      </c>
      <c r="M520" s="118">
        <v>0</v>
      </c>
      <c r="N520" s="118">
        <v>0</v>
      </c>
      <c r="O520" s="118">
        <v>3229.52</v>
      </c>
      <c r="P520" s="110">
        <v>1296.27</v>
      </c>
      <c r="Q520" s="110">
        <v>1250.05</v>
      </c>
      <c r="R520" s="110">
        <v>9865.01</v>
      </c>
    </row>
    <row r="521" spans="1:18" x14ac:dyDescent="0.3">
      <c r="A521" s="116" t="s">
        <v>371</v>
      </c>
      <c r="B521" s="116" t="s">
        <v>322</v>
      </c>
      <c r="C521" s="116"/>
      <c r="D521" s="116" t="s">
        <v>554</v>
      </c>
      <c r="E521" s="116" t="s">
        <v>556</v>
      </c>
      <c r="F521" s="116">
        <v>40</v>
      </c>
      <c r="G521" s="118">
        <v>11251.1</v>
      </c>
      <c r="H521" s="116">
        <v>0</v>
      </c>
      <c r="I521" s="116" t="s">
        <v>322</v>
      </c>
      <c r="J521" s="118">
        <v>0</v>
      </c>
      <c r="K521" s="118">
        <v>0</v>
      </c>
      <c r="L521" s="118">
        <v>0</v>
      </c>
      <c r="M521" s="118">
        <v>0</v>
      </c>
      <c r="N521" s="118">
        <v>0</v>
      </c>
      <c r="O521" s="118">
        <v>1463.9</v>
      </c>
      <c r="P521" s="110">
        <v>1977.75</v>
      </c>
      <c r="Q521" s="110">
        <v>841.23</v>
      </c>
      <c r="R521" s="110">
        <v>9896.02</v>
      </c>
    </row>
    <row r="522" spans="1:18" x14ac:dyDescent="0.3">
      <c r="A522" s="116" t="s">
        <v>371</v>
      </c>
      <c r="B522" s="116" t="s">
        <v>322</v>
      </c>
      <c r="C522" s="116"/>
      <c r="D522" s="116" t="s">
        <v>554</v>
      </c>
      <c r="E522" s="116" t="s">
        <v>564</v>
      </c>
      <c r="F522" s="116">
        <v>40</v>
      </c>
      <c r="G522" s="118">
        <v>9821.0300000000007</v>
      </c>
      <c r="H522" s="116">
        <v>0</v>
      </c>
      <c r="I522" s="116" t="s">
        <v>322</v>
      </c>
      <c r="J522" s="118">
        <v>0</v>
      </c>
      <c r="K522" s="118">
        <v>0</v>
      </c>
      <c r="L522" s="118">
        <v>0</v>
      </c>
      <c r="M522" s="118">
        <v>0</v>
      </c>
      <c r="N522" s="118">
        <v>0</v>
      </c>
      <c r="O522" s="118">
        <v>3074.19</v>
      </c>
      <c r="P522" s="110">
        <v>1443.93</v>
      </c>
      <c r="Q522" s="110">
        <v>1352.32</v>
      </c>
      <c r="R522" s="110">
        <v>10098.969999999999</v>
      </c>
    </row>
    <row r="523" spans="1:18" x14ac:dyDescent="0.3">
      <c r="A523" s="116" t="s">
        <v>371</v>
      </c>
      <c r="B523" s="116" t="s">
        <v>322</v>
      </c>
      <c r="C523" s="116" t="s">
        <v>572</v>
      </c>
      <c r="D523" s="116" t="s">
        <v>554</v>
      </c>
      <c r="E523" s="116" t="s">
        <v>573</v>
      </c>
      <c r="F523" s="116">
        <v>40</v>
      </c>
      <c r="G523" s="118">
        <v>15162.69</v>
      </c>
      <c r="H523" s="116">
        <v>0</v>
      </c>
      <c r="I523" s="116" t="s">
        <v>322</v>
      </c>
      <c r="J523" s="118">
        <v>0</v>
      </c>
      <c r="K523" s="118">
        <v>0</v>
      </c>
      <c r="L523" s="118">
        <v>0</v>
      </c>
      <c r="M523" s="118">
        <v>0</v>
      </c>
      <c r="N523" s="118">
        <v>0</v>
      </c>
      <c r="O523" s="118">
        <v>2927.8</v>
      </c>
      <c r="P523" s="110">
        <v>2895.78</v>
      </c>
      <c r="Q523" s="110">
        <v>1414.56</v>
      </c>
      <c r="R523" s="110">
        <v>13780.15</v>
      </c>
    </row>
    <row r="524" spans="1:18" x14ac:dyDescent="0.3">
      <c r="A524" s="116" t="s">
        <v>371</v>
      </c>
      <c r="B524" s="116" t="s">
        <v>322</v>
      </c>
      <c r="C524" s="116" t="s">
        <v>447</v>
      </c>
      <c r="D524" s="116" t="s">
        <v>554</v>
      </c>
      <c r="E524" s="116" t="s">
        <v>566</v>
      </c>
      <c r="F524" s="116">
        <v>40</v>
      </c>
      <c r="G524" s="118">
        <v>15385.66</v>
      </c>
      <c r="H524" s="116">
        <v>0</v>
      </c>
      <c r="I524" s="116" t="s">
        <v>322</v>
      </c>
      <c r="J524" s="118">
        <v>0</v>
      </c>
      <c r="K524" s="118">
        <v>0</v>
      </c>
      <c r="L524" s="118">
        <v>0</v>
      </c>
      <c r="M524" s="118">
        <v>0</v>
      </c>
      <c r="N524" s="118">
        <v>0</v>
      </c>
      <c r="O524" s="118">
        <v>5006.51</v>
      </c>
      <c r="P524" s="110">
        <v>3346.1</v>
      </c>
      <c r="Q524" s="110">
        <v>1932.32</v>
      </c>
      <c r="R524" s="110">
        <v>15113.75</v>
      </c>
    </row>
    <row r="525" spans="1:18" x14ac:dyDescent="0.3">
      <c r="A525" s="116" t="s">
        <v>371</v>
      </c>
      <c r="B525" s="116" t="s">
        <v>322</v>
      </c>
      <c r="C525" s="116"/>
      <c r="D525" s="116" t="s">
        <v>554</v>
      </c>
      <c r="E525" s="116" t="s">
        <v>560</v>
      </c>
      <c r="F525" s="116">
        <v>40</v>
      </c>
      <c r="G525" s="118">
        <v>8045.51</v>
      </c>
      <c r="H525" s="116">
        <v>0</v>
      </c>
      <c r="I525" s="116" t="s">
        <v>322</v>
      </c>
      <c r="J525" s="118">
        <v>0</v>
      </c>
      <c r="K525" s="118">
        <v>0</v>
      </c>
      <c r="L525" s="118">
        <v>0</v>
      </c>
      <c r="M525" s="118">
        <v>0</v>
      </c>
      <c r="N525" s="118">
        <v>0</v>
      </c>
      <c r="O525" s="118">
        <v>3074.19</v>
      </c>
      <c r="P525" s="110">
        <v>1033.79</v>
      </c>
      <c r="Q525" s="110">
        <v>1068.24</v>
      </c>
      <c r="R525" s="110">
        <v>9017.67</v>
      </c>
    </row>
    <row r="526" spans="1:18" x14ac:dyDescent="0.3">
      <c r="A526" s="116" t="s">
        <v>371</v>
      </c>
      <c r="B526" s="116" t="s">
        <v>322</v>
      </c>
      <c r="C526" s="116"/>
      <c r="D526" s="116" t="s">
        <v>554</v>
      </c>
      <c r="E526" s="116" t="s">
        <v>325</v>
      </c>
      <c r="F526" s="116">
        <v>40</v>
      </c>
      <c r="G526" s="118">
        <v>9205.9500000000007</v>
      </c>
      <c r="H526" s="116">
        <v>0</v>
      </c>
      <c r="I526" s="116" t="s">
        <v>322</v>
      </c>
      <c r="J526" s="118">
        <v>0</v>
      </c>
      <c r="K526" s="118">
        <v>0</v>
      </c>
      <c r="L526" s="118">
        <v>0</v>
      </c>
      <c r="M526" s="118">
        <v>0</v>
      </c>
      <c r="N526" s="118">
        <v>0</v>
      </c>
      <c r="O526" s="118">
        <v>3035.83</v>
      </c>
      <c r="P526" s="110">
        <v>318.60000000000002</v>
      </c>
      <c r="Q526" s="110">
        <v>672.03</v>
      </c>
      <c r="R526" s="110">
        <v>11251.15</v>
      </c>
    </row>
    <row r="527" spans="1:18" x14ac:dyDescent="0.3">
      <c r="A527" s="116" t="s">
        <v>371</v>
      </c>
      <c r="B527" s="116" t="s">
        <v>322</v>
      </c>
      <c r="C527" s="116"/>
      <c r="D527" s="116" t="s">
        <v>554</v>
      </c>
      <c r="E527" s="116" t="s">
        <v>556</v>
      </c>
      <c r="F527" s="116">
        <v>40</v>
      </c>
      <c r="G527" s="118">
        <v>7610.51</v>
      </c>
      <c r="H527" s="116">
        <v>0</v>
      </c>
      <c r="I527" s="116" t="s">
        <v>322</v>
      </c>
      <c r="J527" s="118">
        <v>0</v>
      </c>
      <c r="K527" s="118">
        <v>0</v>
      </c>
      <c r="L527" s="118">
        <v>0</v>
      </c>
      <c r="M527" s="118">
        <v>0</v>
      </c>
      <c r="N527" s="118">
        <v>0</v>
      </c>
      <c r="O527" s="118">
        <v>3074.19</v>
      </c>
      <c r="P527" s="110">
        <v>829.03</v>
      </c>
      <c r="Q527" s="110">
        <v>998.64</v>
      </c>
      <c r="R527" s="110">
        <v>8857.0300000000007</v>
      </c>
    </row>
    <row r="528" spans="1:18" x14ac:dyDescent="0.3">
      <c r="A528" s="116" t="s">
        <v>371</v>
      </c>
      <c r="B528" s="116" t="s">
        <v>322</v>
      </c>
      <c r="C528" s="116"/>
      <c r="D528" s="116" t="s">
        <v>554</v>
      </c>
      <c r="E528" s="116" t="s">
        <v>560</v>
      </c>
      <c r="F528" s="116">
        <v>40</v>
      </c>
      <c r="G528" s="118">
        <v>9602.61</v>
      </c>
      <c r="H528" s="116">
        <v>0</v>
      </c>
      <c r="I528" s="116" t="s">
        <v>322</v>
      </c>
      <c r="J528" s="118">
        <v>0</v>
      </c>
      <c r="K528" s="118">
        <v>0</v>
      </c>
      <c r="L528" s="118">
        <v>0</v>
      </c>
      <c r="M528" s="118">
        <v>0</v>
      </c>
      <c r="N528" s="118">
        <v>0</v>
      </c>
      <c r="O528" s="118">
        <v>3074.19</v>
      </c>
      <c r="P528" s="110">
        <v>1378.3</v>
      </c>
      <c r="Q528" s="110">
        <v>1317.38</v>
      </c>
      <c r="R528" s="110">
        <v>9981.1200000000008</v>
      </c>
    </row>
    <row r="529" spans="1:18" x14ac:dyDescent="0.3">
      <c r="A529" s="116" t="s">
        <v>371</v>
      </c>
      <c r="B529" s="116" t="s">
        <v>322</v>
      </c>
      <c r="C529" s="116" t="s">
        <v>447</v>
      </c>
      <c r="D529" s="116" t="s">
        <v>554</v>
      </c>
      <c r="E529" s="116" t="s">
        <v>567</v>
      </c>
      <c r="F529" s="116">
        <v>40</v>
      </c>
      <c r="G529" s="118">
        <v>9763.61</v>
      </c>
      <c r="H529" s="116">
        <v>0</v>
      </c>
      <c r="I529" s="116" t="s">
        <v>322</v>
      </c>
      <c r="J529" s="118">
        <v>0</v>
      </c>
      <c r="K529" s="118">
        <v>0</v>
      </c>
      <c r="L529" s="118">
        <v>0</v>
      </c>
      <c r="M529" s="118">
        <v>0</v>
      </c>
      <c r="N529" s="118">
        <v>0</v>
      </c>
      <c r="O529" s="118">
        <v>3074.19</v>
      </c>
      <c r="P529" s="110">
        <v>1456.12</v>
      </c>
      <c r="Q529" s="110">
        <v>1061</v>
      </c>
      <c r="R529" s="110">
        <v>10320.68</v>
      </c>
    </row>
    <row r="530" spans="1:18" x14ac:dyDescent="0.3">
      <c r="A530" s="116" t="s">
        <v>371</v>
      </c>
      <c r="B530" s="116" t="s">
        <v>322</v>
      </c>
      <c r="C530" s="116"/>
      <c r="D530" s="116" t="s">
        <v>554</v>
      </c>
      <c r="E530" s="116" t="s">
        <v>574</v>
      </c>
      <c r="F530" s="116">
        <v>40</v>
      </c>
      <c r="G530" s="118">
        <v>9857.06</v>
      </c>
      <c r="H530" s="116">
        <v>0</v>
      </c>
      <c r="I530" s="116" t="s">
        <v>322</v>
      </c>
      <c r="J530" s="118">
        <v>0</v>
      </c>
      <c r="K530" s="118">
        <v>0</v>
      </c>
      <c r="L530" s="118">
        <v>0</v>
      </c>
      <c r="M530" s="118">
        <v>0</v>
      </c>
      <c r="N530" s="118">
        <v>0</v>
      </c>
      <c r="O530" s="118">
        <v>3074.18</v>
      </c>
      <c r="P530" s="110">
        <v>1452.26</v>
      </c>
      <c r="Q530" s="110">
        <v>1358.09</v>
      </c>
      <c r="R530" s="110">
        <v>10120.89</v>
      </c>
    </row>
    <row r="531" spans="1:18" x14ac:dyDescent="0.3">
      <c r="A531" s="116" t="s">
        <v>371</v>
      </c>
      <c r="B531" s="116" t="s">
        <v>322</v>
      </c>
      <c r="C531" s="116"/>
      <c r="D531" s="116" t="s">
        <v>554</v>
      </c>
      <c r="E531" s="116" t="s">
        <v>377</v>
      </c>
      <c r="F531" s="116">
        <v>40</v>
      </c>
      <c r="G531" s="118">
        <v>14198.34</v>
      </c>
      <c r="H531" s="116">
        <v>0</v>
      </c>
      <c r="I531" s="116" t="s">
        <v>322</v>
      </c>
      <c r="J531" s="118">
        <v>0</v>
      </c>
      <c r="K531" s="118">
        <v>0</v>
      </c>
      <c r="L531" s="118">
        <v>0</v>
      </c>
      <c r="M531" s="118">
        <v>0</v>
      </c>
      <c r="N531" s="118">
        <v>0</v>
      </c>
      <c r="O531" s="118">
        <v>5126.88</v>
      </c>
      <c r="P531" s="110">
        <v>3019.58</v>
      </c>
      <c r="Q531" s="110">
        <v>2052.69</v>
      </c>
      <c r="R531" s="110">
        <v>14252.95</v>
      </c>
    </row>
    <row r="532" spans="1:18" x14ac:dyDescent="0.3">
      <c r="A532" s="116" t="s">
        <v>371</v>
      </c>
      <c r="B532" s="116" t="s">
        <v>322</v>
      </c>
      <c r="C532" s="116"/>
      <c r="D532" s="116" t="s">
        <v>554</v>
      </c>
      <c r="E532" s="116" t="s">
        <v>560</v>
      </c>
      <c r="F532" s="116">
        <v>40</v>
      </c>
      <c r="G532" s="118">
        <v>4717.25</v>
      </c>
      <c r="H532" s="116">
        <v>0</v>
      </c>
      <c r="I532" s="116" t="s">
        <v>322</v>
      </c>
      <c r="J532" s="118">
        <v>0</v>
      </c>
      <c r="K532" s="118">
        <v>0</v>
      </c>
      <c r="L532" s="118">
        <v>0</v>
      </c>
      <c r="M532" s="118">
        <v>0</v>
      </c>
      <c r="N532" s="118">
        <v>0</v>
      </c>
      <c r="O532" s="118">
        <v>2232.17</v>
      </c>
      <c r="P532" s="110">
        <v>290.85000000000002</v>
      </c>
      <c r="Q532" s="110">
        <v>486.35</v>
      </c>
      <c r="R532" s="110">
        <v>6172.22</v>
      </c>
    </row>
    <row r="533" spans="1:18" x14ac:dyDescent="0.3">
      <c r="A533" s="116" t="s">
        <v>371</v>
      </c>
      <c r="B533" s="116" t="s">
        <v>322</v>
      </c>
      <c r="C533" s="116"/>
      <c r="D533" s="116" t="s">
        <v>554</v>
      </c>
      <c r="E533" s="116" t="s">
        <v>557</v>
      </c>
      <c r="F533" s="116">
        <v>40</v>
      </c>
      <c r="G533" s="118">
        <v>10244.32</v>
      </c>
      <c r="H533" s="116">
        <v>0</v>
      </c>
      <c r="I533" s="116" t="s">
        <v>322</v>
      </c>
      <c r="J533" s="118">
        <v>0</v>
      </c>
      <c r="K533" s="118">
        <v>0</v>
      </c>
      <c r="L533" s="118">
        <v>0</v>
      </c>
      <c r="M533" s="118">
        <v>0</v>
      </c>
      <c r="N533" s="118">
        <v>0</v>
      </c>
      <c r="O533" s="118">
        <v>1610.29</v>
      </c>
      <c r="P533" s="110">
        <v>1541.71</v>
      </c>
      <c r="Q533" s="110">
        <v>1420.05</v>
      </c>
      <c r="R533" s="110">
        <v>8892.85</v>
      </c>
    </row>
    <row r="534" spans="1:18" x14ac:dyDescent="0.3">
      <c r="A534" s="116" t="s">
        <v>371</v>
      </c>
      <c r="B534" s="116" t="s">
        <v>322</v>
      </c>
      <c r="C534" s="116"/>
      <c r="D534" s="116" t="s">
        <v>554</v>
      </c>
      <c r="E534" s="116" t="s">
        <v>568</v>
      </c>
      <c r="F534" s="116">
        <v>40</v>
      </c>
      <c r="G534" s="118">
        <v>15625.01</v>
      </c>
      <c r="H534" s="116">
        <v>0</v>
      </c>
      <c r="I534" s="116" t="s">
        <v>322</v>
      </c>
      <c r="J534" s="118">
        <v>0</v>
      </c>
      <c r="K534" s="118">
        <v>0</v>
      </c>
      <c r="L534" s="118">
        <v>0</v>
      </c>
      <c r="M534" s="118">
        <v>0</v>
      </c>
      <c r="N534" s="118">
        <v>0</v>
      </c>
      <c r="O534" s="118">
        <v>1463.9</v>
      </c>
      <c r="P534" s="110">
        <v>2732.52</v>
      </c>
      <c r="Q534" s="110">
        <v>2280.96</v>
      </c>
      <c r="R534" s="110">
        <v>12075.43</v>
      </c>
    </row>
    <row r="535" spans="1:18" x14ac:dyDescent="0.3">
      <c r="A535" s="116" t="s">
        <v>371</v>
      </c>
      <c r="B535" s="116" t="s">
        <v>322</v>
      </c>
      <c r="C535" s="116"/>
      <c r="D535" s="116" t="s">
        <v>554</v>
      </c>
      <c r="E535" s="116" t="s">
        <v>568</v>
      </c>
      <c r="F535" s="116">
        <v>40</v>
      </c>
      <c r="G535" s="118">
        <v>4717.25</v>
      </c>
      <c r="H535" s="116">
        <v>0</v>
      </c>
      <c r="I535" s="116" t="s">
        <v>322</v>
      </c>
      <c r="J535" s="118">
        <v>1572.42</v>
      </c>
      <c r="K535" s="118">
        <v>0</v>
      </c>
      <c r="L535" s="118">
        <v>0</v>
      </c>
      <c r="M535" s="118">
        <v>0</v>
      </c>
      <c r="N535" s="118">
        <v>0</v>
      </c>
      <c r="O535" s="118">
        <v>3096.87</v>
      </c>
      <c r="P535" s="110">
        <v>250.69</v>
      </c>
      <c r="Q535" s="110">
        <v>706.48</v>
      </c>
      <c r="R535" s="110">
        <v>8429.3700000000008</v>
      </c>
    </row>
    <row r="536" spans="1:18" x14ac:dyDescent="0.3">
      <c r="A536" s="116" t="s">
        <v>371</v>
      </c>
      <c r="B536" s="116" t="s">
        <v>322</v>
      </c>
      <c r="C536" s="116"/>
      <c r="D536" s="116" t="s">
        <v>554</v>
      </c>
      <c r="E536" s="116" t="s">
        <v>575</v>
      </c>
      <c r="F536" s="116">
        <v>40</v>
      </c>
      <c r="G536" s="118">
        <v>8695.06</v>
      </c>
      <c r="H536" s="116">
        <v>0</v>
      </c>
      <c r="I536" s="116" t="s">
        <v>322</v>
      </c>
      <c r="J536" s="118">
        <v>0</v>
      </c>
      <c r="K536" s="118">
        <v>0</v>
      </c>
      <c r="L536" s="118">
        <v>0</v>
      </c>
      <c r="M536" s="118">
        <v>0</v>
      </c>
      <c r="N536" s="118">
        <v>0</v>
      </c>
      <c r="O536" s="118">
        <v>3074.19</v>
      </c>
      <c r="P536" s="110">
        <v>1183.83</v>
      </c>
      <c r="Q536" s="110">
        <v>1172.17</v>
      </c>
      <c r="R536" s="110">
        <v>9413.25</v>
      </c>
    </row>
    <row r="537" spans="1:18" x14ac:dyDescent="0.3">
      <c r="A537" s="116" t="s">
        <v>371</v>
      </c>
      <c r="B537" s="116" t="s">
        <v>322</v>
      </c>
      <c r="C537" s="116"/>
      <c r="D537" s="116" t="s">
        <v>554</v>
      </c>
      <c r="E537" s="116" t="s">
        <v>571</v>
      </c>
      <c r="F537" s="116">
        <v>40</v>
      </c>
      <c r="G537" s="118">
        <v>9818.49</v>
      </c>
      <c r="H537" s="116">
        <v>0</v>
      </c>
      <c r="I537" s="116" t="s">
        <v>322</v>
      </c>
      <c r="J537" s="118">
        <v>0</v>
      </c>
      <c r="K537" s="118">
        <v>0</v>
      </c>
      <c r="L537" s="118">
        <v>0</v>
      </c>
      <c r="M537" s="118">
        <v>0</v>
      </c>
      <c r="N537" s="118">
        <v>0</v>
      </c>
      <c r="O537" s="118">
        <v>3229.52</v>
      </c>
      <c r="P537" s="110">
        <v>1605.26</v>
      </c>
      <c r="Q537" s="110">
        <v>763.14</v>
      </c>
      <c r="R537" s="110">
        <v>10679.61</v>
      </c>
    </row>
    <row r="538" spans="1:18" x14ac:dyDescent="0.3">
      <c r="A538" s="116" t="s">
        <v>371</v>
      </c>
      <c r="B538" s="116" t="s">
        <v>322</v>
      </c>
      <c r="C538" s="116"/>
      <c r="D538" s="116" t="s">
        <v>554</v>
      </c>
      <c r="E538" s="116" t="s">
        <v>566</v>
      </c>
      <c r="F538" s="116">
        <v>40</v>
      </c>
      <c r="G538" s="118">
        <v>10262.59</v>
      </c>
      <c r="H538" s="116">
        <v>0</v>
      </c>
      <c r="I538" s="116" t="s">
        <v>322</v>
      </c>
      <c r="J538" s="118">
        <v>0</v>
      </c>
      <c r="K538" s="118">
        <v>0</v>
      </c>
      <c r="L538" s="118">
        <v>0</v>
      </c>
      <c r="M538" s="118">
        <v>0</v>
      </c>
      <c r="N538" s="118">
        <v>0</v>
      </c>
      <c r="O538" s="118">
        <v>2927.8</v>
      </c>
      <c r="P538" s="110">
        <v>1568.93</v>
      </c>
      <c r="Q538" s="110">
        <v>770.6</v>
      </c>
      <c r="R538" s="110">
        <v>10850.86</v>
      </c>
    </row>
    <row r="539" spans="1:18" x14ac:dyDescent="0.3">
      <c r="A539" s="116" t="s">
        <v>371</v>
      </c>
      <c r="B539" s="116" t="s">
        <v>322</v>
      </c>
      <c r="C539" s="116"/>
      <c r="D539" s="116" t="s">
        <v>554</v>
      </c>
      <c r="E539" s="116" t="s">
        <v>555</v>
      </c>
      <c r="F539" s="116">
        <v>40</v>
      </c>
      <c r="G539" s="118">
        <v>13274.97</v>
      </c>
      <c r="H539" s="116">
        <v>0</v>
      </c>
      <c r="I539" s="116" t="s">
        <v>322</v>
      </c>
      <c r="J539" s="118">
        <v>0</v>
      </c>
      <c r="K539" s="118">
        <v>0</v>
      </c>
      <c r="L539" s="118">
        <v>0</v>
      </c>
      <c r="M539" s="118">
        <v>0</v>
      </c>
      <c r="N539" s="118">
        <v>0</v>
      </c>
      <c r="O539" s="118">
        <v>282.3</v>
      </c>
      <c r="P539" s="110">
        <v>2241.79</v>
      </c>
      <c r="Q539" s="110">
        <v>1904.96</v>
      </c>
      <c r="R539" s="110">
        <v>9410.52</v>
      </c>
    </row>
    <row r="540" spans="1:18" x14ac:dyDescent="0.3">
      <c r="A540" s="116" t="s">
        <v>371</v>
      </c>
      <c r="B540" s="116" t="s">
        <v>322</v>
      </c>
      <c r="C540" s="116" t="s">
        <v>382</v>
      </c>
      <c r="D540" s="116" t="s">
        <v>554</v>
      </c>
      <c r="E540" s="116" t="s">
        <v>576</v>
      </c>
      <c r="F540" s="116">
        <v>40</v>
      </c>
      <c r="G540" s="118">
        <v>9923.51</v>
      </c>
      <c r="H540" s="116">
        <v>0</v>
      </c>
      <c r="I540" s="116" t="s">
        <v>322</v>
      </c>
      <c r="J540" s="118">
        <v>0</v>
      </c>
      <c r="K540" s="118">
        <v>0</v>
      </c>
      <c r="L540" s="118">
        <v>0</v>
      </c>
      <c r="M540" s="118">
        <v>0</v>
      </c>
      <c r="N540" s="118">
        <v>0</v>
      </c>
      <c r="O540" s="118">
        <v>1610.29</v>
      </c>
      <c r="P540" s="110">
        <v>1484.67</v>
      </c>
      <c r="Q540" s="110">
        <v>1256.72</v>
      </c>
      <c r="R540" s="110">
        <v>8792.41</v>
      </c>
    </row>
    <row r="541" spans="1:18" x14ac:dyDescent="0.3">
      <c r="A541" s="116" t="s">
        <v>371</v>
      </c>
      <c r="B541" s="116" t="s">
        <v>322</v>
      </c>
      <c r="C541" s="116"/>
      <c r="D541" s="116" t="s">
        <v>554</v>
      </c>
      <c r="E541" s="116" t="s">
        <v>564</v>
      </c>
      <c r="F541" s="116">
        <v>40</v>
      </c>
      <c r="G541" s="118">
        <v>7464.22</v>
      </c>
      <c r="H541" s="116">
        <v>0</v>
      </c>
      <c r="I541" s="116" t="s">
        <v>322</v>
      </c>
      <c r="J541" s="118">
        <v>0</v>
      </c>
      <c r="K541" s="118">
        <v>0</v>
      </c>
      <c r="L541" s="118">
        <v>0</v>
      </c>
      <c r="M541" s="118">
        <v>0</v>
      </c>
      <c r="N541" s="118">
        <v>0</v>
      </c>
      <c r="O541" s="118">
        <v>2049.46</v>
      </c>
      <c r="P541" s="110">
        <v>899.45</v>
      </c>
      <c r="Q541" s="110">
        <v>975.45</v>
      </c>
      <c r="R541" s="110">
        <v>7638.78</v>
      </c>
    </row>
    <row r="542" spans="1:18" x14ac:dyDescent="0.3">
      <c r="A542" s="116" t="s">
        <v>371</v>
      </c>
      <c r="B542" s="116" t="s">
        <v>322</v>
      </c>
      <c r="C542" s="116" t="s">
        <v>577</v>
      </c>
      <c r="D542" s="116" t="s">
        <v>554</v>
      </c>
      <c r="E542" s="116" t="s">
        <v>578</v>
      </c>
      <c r="F542" s="116">
        <v>40</v>
      </c>
      <c r="G542" s="118">
        <v>10772.01</v>
      </c>
      <c r="H542" s="116">
        <v>0</v>
      </c>
      <c r="I542" s="116" t="s">
        <v>322</v>
      </c>
      <c r="J542" s="118">
        <v>0</v>
      </c>
      <c r="K542" s="118">
        <v>0</v>
      </c>
      <c r="L542" s="118">
        <v>0</v>
      </c>
      <c r="M542" s="118">
        <v>0</v>
      </c>
      <c r="N542" s="118">
        <v>0</v>
      </c>
      <c r="O542" s="118">
        <v>3074.19</v>
      </c>
      <c r="P542" s="110">
        <v>1885.58</v>
      </c>
      <c r="Q542" s="110">
        <v>697.33</v>
      </c>
      <c r="R542" s="110">
        <v>11263.29</v>
      </c>
    </row>
    <row r="543" spans="1:18" x14ac:dyDescent="0.3">
      <c r="A543" s="116" t="s">
        <v>371</v>
      </c>
      <c r="B543" s="116" t="s">
        <v>322</v>
      </c>
      <c r="C543" s="116"/>
      <c r="D543" s="116" t="s">
        <v>554</v>
      </c>
      <c r="E543" s="116" t="s">
        <v>579</v>
      </c>
      <c r="F543" s="116">
        <v>40</v>
      </c>
      <c r="G543" s="118">
        <v>8016.39</v>
      </c>
      <c r="H543" s="116">
        <v>0</v>
      </c>
      <c r="I543" s="116" t="s">
        <v>322</v>
      </c>
      <c r="J543" s="118">
        <v>0</v>
      </c>
      <c r="K543" s="118">
        <v>0</v>
      </c>
      <c r="L543" s="118">
        <v>0</v>
      </c>
      <c r="M543" s="118">
        <v>0</v>
      </c>
      <c r="N543" s="118">
        <v>0</v>
      </c>
      <c r="O543" s="118">
        <v>2488.63</v>
      </c>
      <c r="P543" s="110">
        <v>1027.06</v>
      </c>
      <c r="Q543" s="110">
        <v>1063.58</v>
      </c>
      <c r="R543" s="110">
        <v>8414.3799999999992</v>
      </c>
    </row>
    <row r="544" spans="1:18" x14ac:dyDescent="0.3">
      <c r="A544" s="116" t="s">
        <v>371</v>
      </c>
      <c r="B544" s="116" t="s">
        <v>322</v>
      </c>
      <c r="C544" s="116"/>
      <c r="D544" s="116" t="s">
        <v>554</v>
      </c>
      <c r="E544" s="116" t="s">
        <v>559</v>
      </c>
      <c r="F544" s="116">
        <v>40</v>
      </c>
      <c r="G544" s="118">
        <v>10807.43</v>
      </c>
      <c r="H544" s="116">
        <v>0</v>
      </c>
      <c r="I544" s="116" t="s">
        <v>322</v>
      </c>
      <c r="J544" s="118">
        <v>0</v>
      </c>
      <c r="K544" s="118">
        <v>0</v>
      </c>
      <c r="L544" s="118">
        <v>0</v>
      </c>
      <c r="M544" s="118">
        <v>0</v>
      </c>
      <c r="N544" s="118">
        <v>0</v>
      </c>
      <c r="O544" s="118">
        <v>3074.19</v>
      </c>
      <c r="P544" s="110">
        <v>1671.79</v>
      </c>
      <c r="Q544" s="110">
        <v>1510.15</v>
      </c>
      <c r="R544" s="110">
        <v>10699.68</v>
      </c>
    </row>
    <row r="545" spans="1:18" x14ac:dyDescent="0.3">
      <c r="A545" s="116" t="s">
        <v>371</v>
      </c>
      <c r="B545" s="116" t="s">
        <v>322</v>
      </c>
      <c r="C545" s="116" t="s">
        <v>406</v>
      </c>
      <c r="D545" s="116" t="s">
        <v>554</v>
      </c>
      <c r="E545" s="116" t="s">
        <v>571</v>
      </c>
      <c r="F545" s="116">
        <v>40</v>
      </c>
      <c r="G545" s="118">
        <v>10538.17</v>
      </c>
      <c r="H545" s="116">
        <v>0</v>
      </c>
      <c r="I545" s="116" t="s">
        <v>322</v>
      </c>
      <c r="J545" s="118">
        <v>0</v>
      </c>
      <c r="K545" s="118">
        <v>0</v>
      </c>
      <c r="L545" s="118">
        <v>0</v>
      </c>
      <c r="M545" s="118">
        <v>0</v>
      </c>
      <c r="N545" s="118">
        <v>0</v>
      </c>
      <c r="O545" s="118">
        <v>2948.69</v>
      </c>
      <c r="P545" s="110">
        <v>1610.26</v>
      </c>
      <c r="Q545" s="110">
        <v>1275.07</v>
      </c>
      <c r="R545" s="110">
        <v>10601.53</v>
      </c>
    </row>
    <row r="546" spans="1:18" x14ac:dyDescent="0.3">
      <c r="A546" s="116" t="s">
        <v>371</v>
      </c>
      <c r="B546" s="116" t="s">
        <v>322</v>
      </c>
      <c r="C546" s="116" t="s">
        <v>382</v>
      </c>
      <c r="D546" s="116" t="s">
        <v>554</v>
      </c>
      <c r="E546" s="116" t="s">
        <v>576</v>
      </c>
      <c r="F546" s="116">
        <v>40</v>
      </c>
      <c r="G546" s="118">
        <v>13151.71</v>
      </c>
      <c r="H546" s="116">
        <v>0</v>
      </c>
      <c r="I546" s="116" t="s">
        <v>322</v>
      </c>
      <c r="J546" s="118">
        <v>0</v>
      </c>
      <c r="K546" s="118">
        <v>0</v>
      </c>
      <c r="L546" s="118">
        <v>0</v>
      </c>
      <c r="M546" s="118">
        <v>0</v>
      </c>
      <c r="N546" s="118">
        <v>0</v>
      </c>
      <c r="O546" s="118">
        <v>1610.29</v>
      </c>
      <c r="P546" s="110">
        <v>2244.12</v>
      </c>
      <c r="Q546" s="110">
        <v>1773.23</v>
      </c>
      <c r="R546" s="110">
        <v>10744.65</v>
      </c>
    </row>
    <row r="547" spans="1:18" x14ac:dyDescent="0.3">
      <c r="A547" s="116" t="s">
        <v>371</v>
      </c>
      <c r="B547" s="116" t="s">
        <v>322</v>
      </c>
      <c r="C547" s="116"/>
      <c r="D547" s="116" t="s">
        <v>554</v>
      </c>
      <c r="E547" s="116" t="s">
        <v>560</v>
      </c>
      <c r="F547" s="116">
        <v>40</v>
      </c>
      <c r="G547" s="118">
        <v>9771.4500000000007</v>
      </c>
      <c r="H547" s="116">
        <v>0</v>
      </c>
      <c r="I547" s="116" t="s">
        <v>322</v>
      </c>
      <c r="J547" s="118">
        <v>0</v>
      </c>
      <c r="K547" s="118">
        <v>0</v>
      </c>
      <c r="L547" s="118">
        <v>0</v>
      </c>
      <c r="M547" s="118">
        <v>0</v>
      </c>
      <c r="N547" s="118">
        <v>0</v>
      </c>
      <c r="O547" s="118">
        <v>3074.19</v>
      </c>
      <c r="P547" s="110">
        <v>1432.48</v>
      </c>
      <c r="Q547" s="110">
        <v>1344.39</v>
      </c>
      <c r="R547" s="110">
        <v>10068.77</v>
      </c>
    </row>
    <row r="548" spans="1:18" x14ac:dyDescent="0.3">
      <c r="A548" s="116" t="s">
        <v>371</v>
      </c>
      <c r="B548" s="116" t="s">
        <v>322</v>
      </c>
      <c r="C548" s="116" t="s">
        <v>577</v>
      </c>
      <c r="D548" s="116" t="s">
        <v>554</v>
      </c>
      <c r="E548" s="116" t="s">
        <v>573</v>
      </c>
      <c r="F548" s="116">
        <v>40</v>
      </c>
      <c r="G548" s="118">
        <v>8903.8799999999992</v>
      </c>
      <c r="H548" s="116">
        <v>0</v>
      </c>
      <c r="I548" s="116" t="s">
        <v>322</v>
      </c>
      <c r="J548" s="118">
        <v>0</v>
      </c>
      <c r="K548" s="118">
        <v>0</v>
      </c>
      <c r="L548" s="118">
        <v>0</v>
      </c>
      <c r="M548" s="118">
        <v>0</v>
      </c>
      <c r="N548" s="118">
        <v>0</v>
      </c>
      <c r="O548" s="118">
        <v>3074.19</v>
      </c>
      <c r="P548" s="110">
        <v>1199.72</v>
      </c>
      <c r="Q548" s="110">
        <v>944.05</v>
      </c>
      <c r="R548" s="110">
        <v>9834.2999999999993</v>
      </c>
    </row>
    <row r="549" spans="1:18" x14ac:dyDescent="0.3">
      <c r="A549" s="116" t="s">
        <v>371</v>
      </c>
      <c r="B549" s="116" t="s">
        <v>322</v>
      </c>
      <c r="C549" s="116"/>
      <c r="D549" s="116" t="s">
        <v>554</v>
      </c>
      <c r="E549" s="116" t="s">
        <v>555</v>
      </c>
      <c r="F549" s="116">
        <v>40</v>
      </c>
      <c r="G549" s="118">
        <v>10363.77</v>
      </c>
      <c r="H549" s="116">
        <v>0</v>
      </c>
      <c r="I549" s="116" t="s">
        <v>322</v>
      </c>
      <c r="J549" s="118">
        <v>0</v>
      </c>
      <c r="K549" s="118">
        <v>0</v>
      </c>
      <c r="L549" s="118">
        <v>0</v>
      </c>
      <c r="M549" s="118">
        <v>0</v>
      </c>
      <c r="N549" s="118">
        <v>0</v>
      </c>
      <c r="O549" s="118">
        <v>3246.37</v>
      </c>
      <c r="P549" s="110">
        <v>1569.31</v>
      </c>
      <c r="Q549" s="110">
        <v>1439.16</v>
      </c>
      <c r="R549" s="110">
        <v>10601.67</v>
      </c>
    </row>
    <row r="550" spans="1:18" x14ac:dyDescent="0.3">
      <c r="A550" s="116" t="s">
        <v>371</v>
      </c>
      <c r="B550" s="116" t="s">
        <v>322</v>
      </c>
      <c r="C550" s="116"/>
      <c r="D550" s="116" t="s">
        <v>554</v>
      </c>
      <c r="E550" s="116" t="s">
        <v>561</v>
      </c>
      <c r="F550" s="116">
        <v>40</v>
      </c>
      <c r="G550" s="118">
        <v>9205.27</v>
      </c>
      <c r="H550" s="116">
        <v>0</v>
      </c>
      <c r="I550" s="116" t="s">
        <v>322</v>
      </c>
      <c r="J550" s="118">
        <v>0</v>
      </c>
      <c r="K550" s="118">
        <v>0</v>
      </c>
      <c r="L550" s="118">
        <v>0</v>
      </c>
      <c r="M550" s="118">
        <v>0</v>
      </c>
      <c r="N550" s="118">
        <v>0</v>
      </c>
      <c r="O550" s="118">
        <v>3074.19</v>
      </c>
      <c r="P550" s="110">
        <v>1287.96</v>
      </c>
      <c r="Q550" s="110">
        <v>1253.8</v>
      </c>
      <c r="R550" s="110">
        <v>9737.7000000000007</v>
      </c>
    </row>
    <row r="551" spans="1:18" x14ac:dyDescent="0.3">
      <c r="A551" s="116" t="s">
        <v>371</v>
      </c>
      <c r="B551" s="116" t="s">
        <v>322</v>
      </c>
      <c r="C551" s="116"/>
      <c r="D551" s="116" t="s">
        <v>554</v>
      </c>
      <c r="E551" s="116" t="s">
        <v>555</v>
      </c>
      <c r="F551" s="116">
        <v>40</v>
      </c>
      <c r="G551" s="118">
        <v>18815.84</v>
      </c>
      <c r="H551" s="116">
        <v>0</v>
      </c>
      <c r="I551" s="116" t="s">
        <v>322</v>
      </c>
      <c r="J551" s="118">
        <v>0</v>
      </c>
      <c r="K551" s="118">
        <v>0</v>
      </c>
      <c r="L551" s="118">
        <v>0</v>
      </c>
      <c r="M551" s="118">
        <v>0</v>
      </c>
      <c r="N551" s="118">
        <v>0</v>
      </c>
      <c r="O551" s="118">
        <v>4626.3999999999996</v>
      </c>
      <c r="P551" s="110">
        <v>4237.26</v>
      </c>
      <c r="Q551" s="110">
        <v>2791.49</v>
      </c>
      <c r="R551" s="110">
        <v>16413.490000000002</v>
      </c>
    </row>
    <row r="552" spans="1:18" x14ac:dyDescent="0.3">
      <c r="A552" s="116" t="s">
        <v>371</v>
      </c>
      <c r="B552" s="116" t="s">
        <v>322</v>
      </c>
      <c r="C552" s="116"/>
      <c r="D552" s="116" t="s">
        <v>554</v>
      </c>
      <c r="E552" s="116" t="s">
        <v>567</v>
      </c>
      <c r="F552" s="116">
        <v>40</v>
      </c>
      <c r="G552" s="118">
        <v>7662.46</v>
      </c>
      <c r="H552" s="116">
        <v>0</v>
      </c>
      <c r="I552" s="116" t="s">
        <v>322</v>
      </c>
      <c r="J552" s="118">
        <v>0</v>
      </c>
      <c r="K552" s="118">
        <v>0</v>
      </c>
      <c r="L552" s="118">
        <v>0</v>
      </c>
      <c r="M552" s="118">
        <v>0</v>
      </c>
      <c r="N552" s="118">
        <v>0</v>
      </c>
      <c r="O552" s="118">
        <v>3074.19</v>
      </c>
      <c r="P552" s="110">
        <v>893.17</v>
      </c>
      <c r="Q552" s="110">
        <v>1006.95</v>
      </c>
      <c r="R552" s="110">
        <v>8836.5300000000007</v>
      </c>
    </row>
    <row r="553" spans="1:18" x14ac:dyDescent="0.3">
      <c r="A553" s="116" t="s">
        <v>371</v>
      </c>
      <c r="B553" s="116" t="s">
        <v>322</v>
      </c>
      <c r="C553" s="116"/>
      <c r="D553" s="116" t="s">
        <v>554</v>
      </c>
      <c r="E553" s="116" t="s">
        <v>559</v>
      </c>
      <c r="F553" s="116">
        <v>40</v>
      </c>
      <c r="G553" s="118">
        <v>9852.9599999999991</v>
      </c>
      <c r="H553" s="116">
        <v>0</v>
      </c>
      <c r="I553" s="116" t="s">
        <v>322</v>
      </c>
      <c r="J553" s="118">
        <v>0</v>
      </c>
      <c r="K553" s="118">
        <v>0</v>
      </c>
      <c r="L553" s="118">
        <v>0</v>
      </c>
      <c r="M553" s="118">
        <v>0</v>
      </c>
      <c r="N553" s="118">
        <v>0</v>
      </c>
      <c r="O553" s="118">
        <v>3074.19</v>
      </c>
      <c r="P553" s="110">
        <v>1613.32</v>
      </c>
      <c r="Q553" s="110">
        <v>768.31</v>
      </c>
      <c r="R553" s="110">
        <v>10545.52</v>
      </c>
    </row>
    <row r="554" spans="1:18" x14ac:dyDescent="0.3">
      <c r="A554" s="116" t="s">
        <v>371</v>
      </c>
      <c r="B554" s="116" t="s">
        <v>322</v>
      </c>
      <c r="C554" s="116"/>
      <c r="D554" s="116" t="s">
        <v>554</v>
      </c>
      <c r="E554" s="116" t="s">
        <v>385</v>
      </c>
      <c r="F554" s="116">
        <v>40</v>
      </c>
      <c r="G554" s="118">
        <v>9868.2199999999993</v>
      </c>
      <c r="H554" s="116">
        <v>0</v>
      </c>
      <c r="I554" s="116" t="s">
        <v>322</v>
      </c>
      <c r="J554" s="118">
        <v>0</v>
      </c>
      <c r="K554" s="118">
        <v>0</v>
      </c>
      <c r="L554" s="118">
        <v>0</v>
      </c>
      <c r="M554" s="118">
        <v>0</v>
      </c>
      <c r="N554" s="118">
        <v>0</v>
      </c>
      <c r="O554" s="118">
        <v>2049.46</v>
      </c>
      <c r="P554" s="110">
        <v>1402.7</v>
      </c>
      <c r="Q554" s="110">
        <v>1359.88</v>
      </c>
      <c r="R554" s="110">
        <v>9155.1</v>
      </c>
    </row>
    <row r="555" spans="1:18" x14ac:dyDescent="0.3">
      <c r="A555" s="116" t="s">
        <v>371</v>
      </c>
      <c r="B555" s="116" t="s">
        <v>322</v>
      </c>
      <c r="C555" s="116"/>
      <c r="D555" s="116" t="s">
        <v>554</v>
      </c>
      <c r="E555" s="116" t="s">
        <v>571</v>
      </c>
      <c r="F555" s="116">
        <v>40</v>
      </c>
      <c r="G555" s="118">
        <v>12806.68</v>
      </c>
      <c r="H555" s="116">
        <v>0</v>
      </c>
      <c r="I555" s="116" t="s">
        <v>322</v>
      </c>
      <c r="J555" s="118">
        <v>0</v>
      </c>
      <c r="K555" s="118">
        <v>0</v>
      </c>
      <c r="L555" s="118">
        <v>0</v>
      </c>
      <c r="M555" s="118">
        <v>0</v>
      </c>
      <c r="N555" s="118">
        <v>0</v>
      </c>
      <c r="O555" s="118">
        <v>0</v>
      </c>
      <c r="P555" s="110">
        <v>0</v>
      </c>
      <c r="Q555" s="110">
        <v>0</v>
      </c>
      <c r="R555" s="110">
        <v>12806.68</v>
      </c>
    </row>
    <row r="556" spans="1:18" x14ac:dyDescent="0.3">
      <c r="A556" s="116" t="s">
        <v>371</v>
      </c>
      <c r="B556" s="116" t="s">
        <v>322</v>
      </c>
      <c r="C556" s="116"/>
      <c r="D556" s="116" t="s">
        <v>554</v>
      </c>
      <c r="E556" s="116" t="s">
        <v>560</v>
      </c>
      <c r="F556" s="116">
        <v>40</v>
      </c>
      <c r="G556" s="118">
        <v>8050.89</v>
      </c>
      <c r="H556" s="116">
        <v>0</v>
      </c>
      <c r="I556" s="116" t="s">
        <v>322</v>
      </c>
      <c r="J556" s="118">
        <v>0</v>
      </c>
      <c r="K556" s="118">
        <v>0</v>
      </c>
      <c r="L556" s="118">
        <v>0</v>
      </c>
      <c r="M556" s="118">
        <v>0</v>
      </c>
      <c r="N556" s="118">
        <v>0</v>
      </c>
      <c r="O556" s="118">
        <v>1610.29</v>
      </c>
      <c r="P556" s="110">
        <v>930.76</v>
      </c>
      <c r="Q556" s="110">
        <v>1069.0999999999999</v>
      </c>
      <c r="R556" s="110">
        <v>7661.32</v>
      </c>
    </row>
    <row r="557" spans="1:18" x14ac:dyDescent="0.3">
      <c r="A557" s="116" t="s">
        <v>371</v>
      </c>
      <c r="B557" s="116" t="s">
        <v>322</v>
      </c>
      <c r="C557" s="116"/>
      <c r="D557" s="116" t="s">
        <v>554</v>
      </c>
      <c r="E557" s="116" t="s">
        <v>561</v>
      </c>
      <c r="F557" s="116">
        <v>40</v>
      </c>
      <c r="G557" s="118">
        <v>7733.73</v>
      </c>
      <c r="H557" s="116">
        <v>0</v>
      </c>
      <c r="I557" s="116" t="s">
        <v>322</v>
      </c>
      <c r="J557" s="118">
        <v>0</v>
      </c>
      <c r="K557" s="118">
        <v>0</v>
      </c>
      <c r="L557" s="118">
        <v>0</v>
      </c>
      <c r="M557" s="118">
        <v>0</v>
      </c>
      <c r="N557" s="118">
        <v>0</v>
      </c>
      <c r="O557" s="118">
        <v>2342.2399999999998</v>
      </c>
      <c r="P557" s="110">
        <v>971.72</v>
      </c>
      <c r="Q557" s="110">
        <v>982.16</v>
      </c>
      <c r="R557" s="110">
        <v>8122.09</v>
      </c>
    </row>
    <row r="558" spans="1:18" x14ac:dyDescent="0.3">
      <c r="A558" s="116" t="s">
        <v>371</v>
      </c>
      <c r="B558" s="116" t="s">
        <v>322</v>
      </c>
      <c r="C558" s="116" t="s">
        <v>382</v>
      </c>
      <c r="D558" s="116" t="s">
        <v>554</v>
      </c>
      <c r="E558" s="116" t="s">
        <v>563</v>
      </c>
      <c r="F558" s="116">
        <v>40</v>
      </c>
      <c r="G558" s="118">
        <v>10539.96</v>
      </c>
      <c r="H558" s="116">
        <v>0</v>
      </c>
      <c r="I558" s="116" t="s">
        <v>322</v>
      </c>
      <c r="J558" s="118">
        <v>0</v>
      </c>
      <c r="K558" s="118">
        <v>0</v>
      </c>
      <c r="L558" s="118">
        <v>0</v>
      </c>
      <c r="M558" s="118">
        <v>0</v>
      </c>
      <c r="N558" s="118">
        <v>0</v>
      </c>
      <c r="O558" s="118">
        <v>1903.06</v>
      </c>
      <c r="P558" s="110">
        <v>1484.4</v>
      </c>
      <c r="Q558" s="110">
        <v>1355.35</v>
      </c>
      <c r="R558" s="110">
        <v>9603.27</v>
      </c>
    </row>
    <row r="559" spans="1:18" x14ac:dyDescent="0.3">
      <c r="A559" s="116" t="s">
        <v>371</v>
      </c>
      <c r="B559" s="116" t="s">
        <v>322</v>
      </c>
      <c r="C559" s="116" t="s">
        <v>375</v>
      </c>
      <c r="D559" s="116" t="s">
        <v>554</v>
      </c>
      <c r="E559" s="116" t="s">
        <v>580</v>
      </c>
      <c r="F559" s="116">
        <v>40</v>
      </c>
      <c r="G559" s="118">
        <v>12451.09</v>
      </c>
      <c r="H559" s="116">
        <v>0</v>
      </c>
      <c r="I559" s="116" t="s">
        <v>322</v>
      </c>
      <c r="J559" s="118">
        <v>0</v>
      </c>
      <c r="K559" s="118">
        <v>0</v>
      </c>
      <c r="L559" s="118">
        <v>0</v>
      </c>
      <c r="M559" s="118">
        <v>0</v>
      </c>
      <c r="N559" s="118">
        <v>0</v>
      </c>
      <c r="O559" s="118">
        <v>1610.29</v>
      </c>
      <c r="P559" s="110">
        <v>2193.0500000000002</v>
      </c>
      <c r="Q559" s="110">
        <v>1068.75</v>
      </c>
      <c r="R559" s="110">
        <v>10799.58</v>
      </c>
    </row>
    <row r="560" spans="1:18" x14ac:dyDescent="0.3">
      <c r="A560" s="116" t="s">
        <v>371</v>
      </c>
      <c r="B560" s="116" t="s">
        <v>322</v>
      </c>
      <c r="C560" s="116"/>
      <c r="D560" s="116" t="s">
        <v>554</v>
      </c>
      <c r="E560" s="116" t="s">
        <v>581</v>
      </c>
      <c r="F560" s="116">
        <v>40</v>
      </c>
      <c r="G560" s="118">
        <v>12220.13</v>
      </c>
      <c r="H560" s="116">
        <v>0</v>
      </c>
      <c r="I560" s="116" t="s">
        <v>322</v>
      </c>
      <c r="J560" s="118">
        <v>0</v>
      </c>
      <c r="K560" s="118">
        <v>0</v>
      </c>
      <c r="L560" s="118">
        <v>0</v>
      </c>
      <c r="M560" s="118">
        <v>0</v>
      </c>
      <c r="N560" s="118">
        <v>0</v>
      </c>
      <c r="O560" s="118">
        <v>2781.41</v>
      </c>
      <c r="P560" s="110">
        <v>1945.99</v>
      </c>
      <c r="Q560" s="110">
        <v>1736.18</v>
      </c>
      <c r="R560" s="110">
        <v>11319.37</v>
      </c>
    </row>
    <row r="561" spans="1:18" x14ac:dyDescent="0.3">
      <c r="A561" s="116" t="s">
        <v>371</v>
      </c>
      <c r="B561" s="116" t="s">
        <v>322</v>
      </c>
      <c r="C561" s="116" t="s">
        <v>406</v>
      </c>
      <c r="D561" s="116" t="s">
        <v>554</v>
      </c>
      <c r="E561" s="116" t="s">
        <v>565</v>
      </c>
      <c r="F561" s="116">
        <v>40</v>
      </c>
      <c r="G561" s="118">
        <v>12451.1</v>
      </c>
      <c r="H561" s="116">
        <v>0</v>
      </c>
      <c r="I561" s="116" t="s">
        <v>322</v>
      </c>
      <c r="J561" s="118">
        <v>0</v>
      </c>
      <c r="K561" s="118">
        <v>0</v>
      </c>
      <c r="L561" s="118">
        <v>0</v>
      </c>
      <c r="M561" s="118">
        <v>0</v>
      </c>
      <c r="N561" s="118">
        <v>0</v>
      </c>
      <c r="O561" s="118">
        <v>3220.57</v>
      </c>
      <c r="P561" s="110">
        <v>1947.87</v>
      </c>
      <c r="Q561" s="110">
        <v>1581.14</v>
      </c>
      <c r="R561" s="110">
        <v>12142.66</v>
      </c>
    </row>
    <row r="562" spans="1:18" x14ac:dyDescent="0.3">
      <c r="A562" s="116" t="s">
        <v>371</v>
      </c>
      <c r="B562" s="116" t="s">
        <v>322</v>
      </c>
      <c r="C562" s="116" t="s">
        <v>406</v>
      </c>
      <c r="D562" s="116" t="s">
        <v>554</v>
      </c>
      <c r="E562" s="116" t="s">
        <v>574</v>
      </c>
      <c r="F562" s="116">
        <v>40</v>
      </c>
      <c r="G562" s="118">
        <v>11051.83</v>
      </c>
      <c r="H562" s="116">
        <v>0</v>
      </c>
      <c r="I562" s="116" t="s">
        <v>322</v>
      </c>
      <c r="J562" s="118">
        <v>0</v>
      </c>
      <c r="K562" s="118">
        <v>0</v>
      </c>
      <c r="L562" s="118">
        <v>0</v>
      </c>
      <c r="M562" s="118">
        <v>0</v>
      </c>
      <c r="N562" s="118">
        <v>0</v>
      </c>
      <c r="O562" s="118">
        <v>3366.96</v>
      </c>
      <c r="P562" s="110">
        <v>1890.92</v>
      </c>
      <c r="Q562" s="110">
        <v>768.14</v>
      </c>
      <c r="R562" s="110">
        <v>11759.73</v>
      </c>
    </row>
    <row r="563" spans="1:18" x14ac:dyDescent="0.3">
      <c r="A563" s="116" t="s">
        <v>371</v>
      </c>
      <c r="B563" s="116" t="s">
        <v>322</v>
      </c>
      <c r="C563" s="116" t="s">
        <v>382</v>
      </c>
      <c r="D563" s="116" t="s">
        <v>554</v>
      </c>
      <c r="E563" s="116" t="s">
        <v>558</v>
      </c>
      <c r="F563" s="116">
        <v>40</v>
      </c>
      <c r="G563" s="118">
        <v>12964.86</v>
      </c>
      <c r="H563" s="116">
        <v>0</v>
      </c>
      <c r="I563" s="116" t="s">
        <v>322</v>
      </c>
      <c r="J563" s="118">
        <v>0</v>
      </c>
      <c r="K563" s="118">
        <v>0</v>
      </c>
      <c r="L563" s="118">
        <v>0</v>
      </c>
      <c r="M563" s="118">
        <v>0</v>
      </c>
      <c r="N563" s="118">
        <v>0</v>
      </c>
      <c r="O563" s="118">
        <v>1903.06</v>
      </c>
      <c r="P563" s="110">
        <v>2187.2199999999998</v>
      </c>
      <c r="Q563" s="110">
        <v>1743.34</v>
      </c>
      <c r="R563" s="110">
        <v>10937.36</v>
      </c>
    </row>
    <row r="564" spans="1:18" x14ac:dyDescent="0.3">
      <c r="A564" s="116" t="s">
        <v>582</v>
      </c>
      <c r="B564" s="116" t="s">
        <v>322</v>
      </c>
      <c r="C564" s="116" t="s">
        <v>350</v>
      </c>
      <c r="D564" s="116" t="s">
        <v>554</v>
      </c>
      <c r="E564" s="116" t="s">
        <v>397</v>
      </c>
      <c r="F564" s="116">
        <v>40</v>
      </c>
      <c r="G564" s="118">
        <v>20159.63</v>
      </c>
      <c r="H564" s="116">
        <v>0</v>
      </c>
      <c r="I564" s="116" t="s">
        <v>322</v>
      </c>
      <c r="J564" s="118">
        <v>0</v>
      </c>
      <c r="K564" s="118">
        <v>0</v>
      </c>
      <c r="L564" s="118">
        <v>0</v>
      </c>
      <c r="M564" s="118">
        <v>0</v>
      </c>
      <c r="N564" s="118">
        <v>0</v>
      </c>
      <c r="O564" s="118">
        <v>2443.1999999999998</v>
      </c>
      <c r="P564" s="110">
        <v>3778.59</v>
      </c>
      <c r="Q564" s="110">
        <v>2635.94</v>
      </c>
      <c r="R564" s="110">
        <v>16188.3</v>
      </c>
    </row>
    <row r="565" spans="1:18" x14ac:dyDescent="0.3">
      <c r="A565" s="116" t="s">
        <v>583</v>
      </c>
      <c r="B565" s="116" t="s">
        <v>322</v>
      </c>
      <c r="C565" s="116"/>
      <c r="D565" s="116" t="s">
        <v>554</v>
      </c>
      <c r="E565" s="116" t="s">
        <v>568</v>
      </c>
      <c r="F565" s="116">
        <v>40</v>
      </c>
      <c r="G565" s="118">
        <v>2968.4</v>
      </c>
      <c r="H565" s="116">
        <v>0</v>
      </c>
      <c r="I565" s="116" t="s">
        <v>322</v>
      </c>
      <c r="J565" s="118">
        <v>0</v>
      </c>
      <c r="K565" s="118">
        <v>0</v>
      </c>
      <c r="L565" s="118">
        <v>0</v>
      </c>
      <c r="M565" s="118">
        <v>0</v>
      </c>
      <c r="N565" s="118">
        <v>0</v>
      </c>
      <c r="O565" s="118">
        <v>1500</v>
      </c>
      <c r="P565" s="110">
        <v>0</v>
      </c>
      <c r="Q565" s="110">
        <v>337.75</v>
      </c>
      <c r="R565" s="110">
        <v>4130.6499999999996</v>
      </c>
    </row>
    <row r="566" spans="1:18" x14ac:dyDescent="0.3">
      <c r="A566" s="116" t="s">
        <v>583</v>
      </c>
      <c r="B566" s="116" t="s">
        <v>322</v>
      </c>
      <c r="C566" s="116"/>
      <c r="D566" s="116" t="s">
        <v>554</v>
      </c>
      <c r="E566" s="116" t="s">
        <v>568</v>
      </c>
      <c r="F566" s="116">
        <v>40</v>
      </c>
      <c r="G566" s="118">
        <v>3232.4</v>
      </c>
      <c r="H566" s="116">
        <v>0</v>
      </c>
      <c r="I566" s="116" t="s">
        <v>322</v>
      </c>
      <c r="J566" s="118">
        <v>0</v>
      </c>
      <c r="K566" s="118">
        <v>0</v>
      </c>
      <c r="L566" s="118">
        <v>0</v>
      </c>
      <c r="M566" s="118">
        <v>0</v>
      </c>
      <c r="N566" s="118">
        <v>0</v>
      </c>
      <c r="O566" s="118">
        <v>1870.99</v>
      </c>
      <c r="P566" s="110">
        <v>86.02</v>
      </c>
      <c r="Q566" s="110">
        <v>370.99</v>
      </c>
      <c r="R566" s="110">
        <v>4646.38</v>
      </c>
    </row>
    <row r="567" spans="1:18" x14ac:dyDescent="0.3">
      <c r="A567" s="116" t="s">
        <v>583</v>
      </c>
      <c r="B567" s="116" t="s">
        <v>322</v>
      </c>
      <c r="C567" s="116"/>
      <c r="D567" s="116" t="s">
        <v>554</v>
      </c>
      <c r="E567" s="116" t="s">
        <v>568</v>
      </c>
      <c r="F567" s="116">
        <v>40</v>
      </c>
      <c r="G567" s="118">
        <v>3791.88</v>
      </c>
      <c r="H567" s="116">
        <v>0</v>
      </c>
      <c r="I567" s="116" t="s">
        <v>322</v>
      </c>
      <c r="J567" s="118">
        <v>0</v>
      </c>
      <c r="K567" s="118">
        <v>0</v>
      </c>
      <c r="L567" s="118">
        <v>0</v>
      </c>
      <c r="M567" s="118">
        <v>0</v>
      </c>
      <c r="N567" s="118">
        <v>0</v>
      </c>
      <c r="O567" s="118">
        <v>1564.05</v>
      </c>
      <c r="P567" s="110">
        <v>119.18</v>
      </c>
      <c r="Q567" s="110">
        <v>443.72</v>
      </c>
      <c r="R567" s="110">
        <v>4793.03</v>
      </c>
    </row>
    <row r="568" spans="1:18" x14ac:dyDescent="0.3">
      <c r="A568" s="116" t="s">
        <v>583</v>
      </c>
      <c r="B568" s="116" t="s">
        <v>322</v>
      </c>
      <c r="C568" s="116"/>
      <c r="D568" s="116" t="s">
        <v>554</v>
      </c>
      <c r="E568" s="116" t="s">
        <v>566</v>
      </c>
      <c r="F568" s="116">
        <v>40</v>
      </c>
      <c r="G568" s="118">
        <v>2968.4</v>
      </c>
      <c r="H568" s="116">
        <v>0</v>
      </c>
      <c r="I568" s="116" t="s">
        <v>322</v>
      </c>
      <c r="J568" s="118">
        <v>0</v>
      </c>
      <c r="K568" s="118">
        <v>0</v>
      </c>
      <c r="L568" s="118">
        <v>0</v>
      </c>
      <c r="M568" s="118">
        <v>0</v>
      </c>
      <c r="N568" s="118">
        <v>0</v>
      </c>
      <c r="O568" s="118">
        <v>817.32</v>
      </c>
      <c r="P568" s="110">
        <v>49.96</v>
      </c>
      <c r="Q568" s="110">
        <v>337.75</v>
      </c>
      <c r="R568" s="110">
        <v>3398.01</v>
      </c>
    </row>
    <row r="569" spans="1:18" x14ac:dyDescent="0.3">
      <c r="A569" s="116" t="s">
        <v>583</v>
      </c>
      <c r="B569" s="116" t="s">
        <v>322</v>
      </c>
      <c r="C569" s="116"/>
      <c r="D569" s="116" t="s">
        <v>554</v>
      </c>
      <c r="E569" s="116" t="s">
        <v>539</v>
      </c>
      <c r="F569" s="116">
        <v>40</v>
      </c>
      <c r="G569" s="118">
        <v>3511.49</v>
      </c>
      <c r="H569" s="116">
        <v>0</v>
      </c>
      <c r="I569" s="116" t="s">
        <v>322</v>
      </c>
      <c r="J569" s="118">
        <v>0</v>
      </c>
      <c r="K569" s="118">
        <v>0</v>
      </c>
      <c r="L569" s="118">
        <v>0</v>
      </c>
      <c r="M569" s="118">
        <v>0</v>
      </c>
      <c r="N569" s="118">
        <v>0</v>
      </c>
      <c r="O569" s="118">
        <v>2079.89</v>
      </c>
      <c r="P569" s="110">
        <v>138.22</v>
      </c>
      <c r="Q569" s="110">
        <v>407.27</v>
      </c>
      <c r="R569" s="110">
        <v>5045.8900000000003</v>
      </c>
    </row>
    <row r="570" spans="1:18" x14ac:dyDescent="0.3">
      <c r="A570" s="116" t="s">
        <v>583</v>
      </c>
      <c r="B570" s="116" t="s">
        <v>322</v>
      </c>
      <c r="C570" s="116"/>
      <c r="D570" s="116" t="s">
        <v>554</v>
      </c>
      <c r="E570" s="116" t="s">
        <v>568</v>
      </c>
      <c r="F570" s="116">
        <v>40</v>
      </c>
      <c r="G570" s="118">
        <v>3285.89</v>
      </c>
      <c r="H570" s="116">
        <v>0</v>
      </c>
      <c r="I570" s="116" t="s">
        <v>322</v>
      </c>
      <c r="J570" s="118">
        <v>0</v>
      </c>
      <c r="K570" s="118">
        <v>0</v>
      </c>
      <c r="L570" s="118">
        <v>0</v>
      </c>
      <c r="M570" s="118">
        <v>0</v>
      </c>
      <c r="N570" s="118">
        <v>0</v>
      </c>
      <c r="O570" s="118">
        <v>1677.92</v>
      </c>
      <c r="P570" s="110">
        <v>45.48</v>
      </c>
      <c r="Q570" s="110">
        <v>377.95</v>
      </c>
      <c r="R570" s="110">
        <v>4540.38</v>
      </c>
    </row>
    <row r="571" spans="1:18" x14ac:dyDescent="0.3">
      <c r="A571" s="116" t="s">
        <v>583</v>
      </c>
      <c r="B571" s="116" t="s">
        <v>322</v>
      </c>
      <c r="C571" s="116"/>
      <c r="D571" s="116" t="s">
        <v>554</v>
      </c>
      <c r="E571" s="116" t="s">
        <v>568</v>
      </c>
      <c r="F571" s="116">
        <v>40</v>
      </c>
      <c r="G571" s="118">
        <v>3507.79</v>
      </c>
      <c r="H571" s="116">
        <v>0</v>
      </c>
      <c r="I571" s="116" t="s">
        <v>322</v>
      </c>
      <c r="J571" s="118">
        <v>0</v>
      </c>
      <c r="K571" s="118">
        <v>0</v>
      </c>
      <c r="L571" s="118">
        <v>0</v>
      </c>
      <c r="M571" s="118">
        <v>0</v>
      </c>
      <c r="N571" s="118">
        <v>0</v>
      </c>
      <c r="O571" s="118">
        <v>2086.66</v>
      </c>
      <c r="P571" s="110">
        <v>137.59</v>
      </c>
      <c r="Q571" s="110">
        <v>406.79</v>
      </c>
      <c r="R571" s="110">
        <v>5050.07</v>
      </c>
    </row>
    <row r="572" spans="1:18" x14ac:dyDescent="0.3">
      <c r="A572" s="116" t="s">
        <v>341</v>
      </c>
      <c r="B572" s="116" t="s">
        <v>322</v>
      </c>
      <c r="C572" s="116" t="s">
        <v>327</v>
      </c>
      <c r="D572" s="116" t="s">
        <v>554</v>
      </c>
      <c r="E572" s="116" t="s">
        <v>325</v>
      </c>
      <c r="F572" s="116">
        <v>40</v>
      </c>
      <c r="G572" s="118">
        <v>15249.48</v>
      </c>
      <c r="H572" s="116">
        <v>0</v>
      </c>
      <c r="I572" s="116" t="s">
        <v>322</v>
      </c>
      <c r="J572" s="118">
        <v>0</v>
      </c>
      <c r="K572" s="118">
        <v>0</v>
      </c>
      <c r="L572" s="118">
        <v>0</v>
      </c>
      <c r="M572" s="118">
        <v>0</v>
      </c>
      <c r="N572" s="118">
        <v>0</v>
      </c>
      <c r="O572" s="118">
        <v>2565.36</v>
      </c>
      <c r="P572" s="110">
        <v>2848.44</v>
      </c>
      <c r="Q572" s="110">
        <v>1673.47</v>
      </c>
      <c r="R572" s="110">
        <v>13292.93</v>
      </c>
    </row>
    <row r="573" spans="1:18" x14ac:dyDescent="0.3">
      <c r="A573" s="116" t="s">
        <v>341</v>
      </c>
      <c r="B573" s="116" t="s">
        <v>322</v>
      </c>
      <c r="C573" s="116"/>
      <c r="D573" s="116" t="s">
        <v>554</v>
      </c>
      <c r="E573" s="116" t="s">
        <v>580</v>
      </c>
      <c r="F573" s="116">
        <v>40</v>
      </c>
      <c r="G573" s="118">
        <v>28113.7</v>
      </c>
      <c r="H573" s="116">
        <v>0</v>
      </c>
      <c r="I573" s="116" t="s">
        <v>322</v>
      </c>
      <c r="J573" s="118">
        <v>0</v>
      </c>
      <c r="K573" s="118">
        <v>0</v>
      </c>
      <c r="L573" s="118">
        <v>0</v>
      </c>
      <c r="M573" s="118">
        <v>0</v>
      </c>
      <c r="N573" s="118">
        <v>0</v>
      </c>
      <c r="O573" s="118">
        <v>2565.36</v>
      </c>
      <c r="P573" s="110">
        <v>5669.54</v>
      </c>
      <c r="Q573" s="110">
        <v>4279.1499999999996</v>
      </c>
      <c r="R573" s="110">
        <v>20730.37</v>
      </c>
    </row>
    <row r="574" spans="1:18" x14ac:dyDescent="0.3">
      <c r="A574" s="116" t="s">
        <v>341</v>
      </c>
      <c r="B574" s="116" t="s">
        <v>322</v>
      </c>
      <c r="C574" s="116" t="s">
        <v>570</v>
      </c>
      <c r="D574" s="116" t="s">
        <v>554</v>
      </c>
      <c r="E574" s="116" t="s">
        <v>573</v>
      </c>
      <c r="F574" s="116">
        <v>40</v>
      </c>
      <c r="G574" s="118">
        <v>11859.01</v>
      </c>
      <c r="H574" s="116">
        <v>0</v>
      </c>
      <c r="I574" s="116" t="s">
        <v>322</v>
      </c>
      <c r="J574" s="118">
        <v>0</v>
      </c>
      <c r="K574" s="118">
        <v>0</v>
      </c>
      <c r="L574" s="118">
        <v>0</v>
      </c>
      <c r="M574" s="118">
        <v>0</v>
      </c>
      <c r="N574" s="118">
        <v>0</v>
      </c>
      <c r="O574" s="118">
        <v>2565.36</v>
      </c>
      <c r="P574" s="110">
        <v>2106.17</v>
      </c>
      <c r="Q574" s="110">
        <v>1573.37</v>
      </c>
      <c r="R574" s="110">
        <v>10744.83</v>
      </c>
    </row>
    <row r="575" spans="1:18" x14ac:dyDescent="0.3">
      <c r="A575" s="116" t="s">
        <v>394</v>
      </c>
      <c r="B575" s="116" t="s">
        <v>322</v>
      </c>
      <c r="C575" s="116" t="s">
        <v>447</v>
      </c>
      <c r="D575" s="116" t="s">
        <v>554</v>
      </c>
      <c r="E575" s="116" t="s">
        <v>377</v>
      </c>
      <c r="F575" s="116">
        <v>40</v>
      </c>
      <c r="G575" s="118">
        <v>9445.35</v>
      </c>
      <c r="H575" s="116">
        <v>0</v>
      </c>
      <c r="I575" s="116" t="s">
        <v>322</v>
      </c>
      <c r="J575" s="118">
        <v>0</v>
      </c>
      <c r="K575" s="118">
        <v>0</v>
      </c>
      <c r="L575" s="118">
        <v>0</v>
      </c>
      <c r="M575" s="118">
        <v>0</v>
      </c>
      <c r="N575" s="118">
        <v>0</v>
      </c>
      <c r="O575" s="118">
        <v>3074.19</v>
      </c>
      <c r="P575" s="110">
        <v>1434.74</v>
      </c>
      <c r="Q575" s="110">
        <v>1010.08</v>
      </c>
      <c r="R575" s="110">
        <v>10074.719999999999</v>
      </c>
    </row>
    <row r="576" spans="1:18" x14ac:dyDescent="0.3">
      <c r="A576" s="116" t="s">
        <v>394</v>
      </c>
      <c r="B576" s="116" t="s">
        <v>322</v>
      </c>
      <c r="C576" s="116"/>
      <c r="D576" s="116" t="s">
        <v>554</v>
      </c>
      <c r="E576" s="116" t="s">
        <v>559</v>
      </c>
      <c r="F576" s="116">
        <v>40</v>
      </c>
      <c r="G576" s="118">
        <v>8052.29</v>
      </c>
      <c r="H576" s="116">
        <v>0</v>
      </c>
      <c r="I576" s="116" t="s">
        <v>322</v>
      </c>
      <c r="J576" s="118">
        <v>0</v>
      </c>
      <c r="K576" s="118">
        <v>0</v>
      </c>
      <c r="L576" s="118">
        <v>0</v>
      </c>
      <c r="M576" s="118">
        <v>0</v>
      </c>
      <c r="N576" s="118">
        <v>0</v>
      </c>
      <c r="O576" s="118">
        <v>2488.63</v>
      </c>
      <c r="P576" s="110">
        <v>1035.3499999999999</v>
      </c>
      <c r="Q576" s="110">
        <v>1069.33</v>
      </c>
      <c r="R576" s="110">
        <v>8436.24</v>
      </c>
    </row>
    <row r="577" spans="1:18" x14ac:dyDescent="0.3">
      <c r="A577" s="116" t="s">
        <v>394</v>
      </c>
      <c r="B577" s="116" t="s">
        <v>322</v>
      </c>
      <c r="C577" s="116" t="s">
        <v>382</v>
      </c>
      <c r="D577" s="116" t="s">
        <v>554</v>
      </c>
      <c r="E577" s="116" t="s">
        <v>571</v>
      </c>
      <c r="F577" s="116">
        <v>40</v>
      </c>
      <c r="G577" s="118">
        <v>8681.25</v>
      </c>
      <c r="H577" s="116">
        <v>0</v>
      </c>
      <c r="I577" s="116" t="s">
        <v>322</v>
      </c>
      <c r="J577" s="118">
        <v>0</v>
      </c>
      <c r="K577" s="118">
        <v>0</v>
      </c>
      <c r="L577" s="118">
        <v>0</v>
      </c>
      <c r="M577" s="118">
        <v>0</v>
      </c>
      <c r="N577" s="118">
        <v>0</v>
      </c>
      <c r="O577" s="118">
        <v>3229.52</v>
      </c>
      <c r="P577" s="110">
        <v>1211.44</v>
      </c>
      <c r="Q577" s="110">
        <v>1057.96</v>
      </c>
      <c r="R577" s="110">
        <v>9641.3700000000008</v>
      </c>
    </row>
    <row r="578" spans="1:18" x14ac:dyDescent="0.3">
      <c r="A578" s="116" t="s">
        <v>394</v>
      </c>
      <c r="B578" s="116" t="s">
        <v>322</v>
      </c>
      <c r="C578" s="116" t="s">
        <v>382</v>
      </c>
      <c r="D578" s="116" t="s">
        <v>554</v>
      </c>
      <c r="E578" s="116" t="s">
        <v>563</v>
      </c>
      <c r="F578" s="116">
        <v>40</v>
      </c>
      <c r="G578" s="118">
        <v>8023.16</v>
      </c>
      <c r="H578" s="116">
        <v>0</v>
      </c>
      <c r="I578" s="116" t="s">
        <v>322</v>
      </c>
      <c r="J578" s="118">
        <v>0</v>
      </c>
      <c r="K578" s="118">
        <v>0</v>
      </c>
      <c r="L578" s="118">
        <v>0</v>
      </c>
      <c r="M578" s="118">
        <v>0</v>
      </c>
      <c r="N578" s="118">
        <v>0</v>
      </c>
      <c r="O578" s="118">
        <v>1756.67</v>
      </c>
      <c r="P578" s="110">
        <v>1007.03</v>
      </c>
      <c r="Q578" s="110">
        <v>953.59</v>
      </c>
      <c r="R578" s="110">
        <v>7819.21</v>
      </c>
    </row>
    <row r="579" spans="1:18" x14ac:dyDescent="0.3">
      <c r="A579" s="116" t="s">
        <v>394</v>
      </c>
      <c r="B579" s="116" t="s">
        <v>322</v>
      </c>
      <c r="C579" s="116"/>
      <c r="D579" s="116" t="s">
        <v>554</v>
      </c>
      <c r="E579" s="116" t="s">
        <v>563</v>
      </c>
      <c r="F579" s="116">
        <v>40</v>
      </c>
      <c r="G579" s="118">
        <v>7731.68</v>
      </c>
      <c r="H579" s="116">
        <v>0</v>
      </c>
      <c r="I579" s="116" t="s">
        <v>322</v>
      </c>
      <c r="J579" s="118">
        <v>0</v>
      </c>
      <c r="K579" s="118">
        <v>0</v>
      </c>
      <c r="L579" s="118">
        <v>0</v>
      </c>
      <c r="M579" s="118">
        <v>0</v>
      </c>
      <c r="N579" s="118">
        <v>0</v>
      </c>
      <c r="O579" s="118">
        <v>3366.96</v>
      </c>
      <c r="P579" s="110">
        <v>971.16</v>
      </c>
      <c r="Q579" s="110">
        <v>982.16</v>
      </c>
      <c r="R579" s="110">
        <v>9145.32</v>
      </c>
    </row>
    <row r="580" spans="1:18" x14ac:dyDescent="0.3">
      <c r="A580" s="116" t="s">
        <v>394</v>
      </c>
      <c r="B580" s="116" t="s">
        <v>322</v>
      </c>
      <c r="C580" s="116" t="s">
        <v>382</v>
      </c>
      <c r="D580" s="116" t="s">
        <v>554</v>
      </c>
      <c r="E580" s="116" t="s">
        <v>563</v>
      </c>
      <c r="F580" s="116">
        <v>40</v>
      </c>
      <c r="G580" s="118">
        <v>7708.99</v>
      </c>
      <c r="H580" s="116">
        <v>0</v>
      </c>
      <c r="I580" s="116" t="s">
        <v>322</v>
      </c>
      <c r="J580" s="118">
        <v>0</v>
      </c>
      <c r="K580" s="118">
        <v>0</v>
      </c>
      <c r="L580" s="118">
        <v>0</v>
      </c>
      <c r="M580" s="118">
        <v>0</v>
      </c>
      <c r="N580" s="118">
        <v>0</v>
      </c>
      <c r="O580" s="118">
        <v>2488.62</v>
      </c>
      <c r="P580" s="110">
        <v>934.03</v>
      </c>
      <c r="Q580" s="110">
        <v>904.89</v>
      </c>
      <c r="R580" s="110">
        <v>8358.69</v>
      </c>
    </row>
    <row r="581" spans="1:18" x14ac:dyDescent="0.3">
      <c r="A581" s="116" t="s">
        <v>394</v>
      </c>
      <c r="B581" s="116" t="s">
        <v>322</v>
      </c>
      <c r="C581" s="116"/>
      <c r="D581" s="116" t="s">
        <v>554</v>
      </c>
      <c r="E581" s="116" t="s">
        <v>563</v>
      </c>
      <c r="F581" s="116">
        <v>40</v>
      </c>
      <c r="G581" s="118">
        <v>7370.71</v>
      </c>
      <c r="H581" s="116">
        <v>0</v>
      </c>
      <c r="I581" s="116" t="s">
        <v>322</v>
      </c>
      <c r="J581" s="118">
        <v>0</v>
      </c>
      <c r="K581" s="118">
        <v>0</v>
      </c>
      <c r="L581" s="118">
        <v>0</v>
      </c>
      <c r="M581" s="118">
        <v>0</v>
      </c>
      <c r="N581" s="118">
        <v>0</v>
      </c>
      <c r="O581" s="118">
        <v>3366.96</v>
      </c>
      <c r="P581" s="110">
        <v>877.72</v>
      </c>
      <c r="Q581" s="110">
        <v>960.96</v>
      </c>
      <c r="R581" s="110">
        <v>8898.99</v>
      </c>
    </row>
    <row r="582" spans="1:18" x14ac:dyDescent="0.3">
      <c r="A582" s="116" t="s">
        <v>394</v>
      </c>
      <c r="B582" s="116" t="s">
        <v>322</v>
      </c>
      <c r="C582" s="116" t="s">
        <v>406</v>
      </c>
      <c r="D582" s="116" t="s">
        <v>554</v>
      </c>
      <c r="E582" s="116" t="s">
        <v>584</v>
      </c>
      <c r="F582" s="116">
        <v>40</v>
      </c>
      <c r="G582" s="118">
        <v>9253.2199999999993</v>
      </c>
      <c r="H582" s="116">
        <v>0</v>
      </c>
      <c r="I582" s="116" t="s">
        <v>322</v>
      </c>
      <c r="J582" s="118">
        <v>0</v>
      </c>
      <c r="K582" s="118">
        <v>0</v>
      </c>
      <c r="L582" s="118">
        <v>0</v>
      </c>
      <c r="M582" s="118">
        <v>0</v>
      </c>
      <c r="N582" s="118">
        <v>0</v>
      </c>
      <c r="O582" s="118">
        <v>3366.96</v>
      </c>
      <c r="P582" s="110">
        <v>1313.43</v>
      </c>
      <c r="Q582" s="110">
        <v>1069.48</v>
      </c>
      <c r="R582" s="110">
        <v>10237.27</v>
      </c>
    </row>
    <row r="583" spans="1:18" x14ac:dyDescent="0.3">
      <c r="A583" s="116" t="s">
        <v>394</v>
      </c>
      <c r="B583" s="116" t="s">
        <v>322</v>
      </c>
      <c r="C583" s="116" t="s">
        <v>382</v>
      </c>
      <c r="D583" s="116" t="s">
        <v>554</v>
      </c>
      <c r="E583" s="116" t="s">
        <v>576</v>
      </c>
      <c r="F583" s="116">
        <v>40</v>
      </c>
      <c r="G583" s="118">
        <v>8080.97</v>
      </c>
      <c r="H583" s="116">
        <v>0</v>
      </c>
      <c r="I583" s="116" t="s">
        <v>322</v>
      </c>
      <c r="J583" s="118">
        <v>0</v>
      </c>
      <c r="K583" s="118">
        <v>0</v>
      </c>
      <c r="L583" s="118">
        <v>0</v>
      </c>
      <c r="M583" s="118">
        <v>0</v>
      </c>
      <c r="N583" s="118">
        <v>0</v>
      </c>
      <c r="O583" s="118">
        <v>3074.19</v>
      </c>
      <c r="P583" s="110">
        <v>1072.6099999999999</v>
      </c>
      <c r="Q583" s="110">
        <v>962.55</v>
      </c>
      <c r="R583" s="110">
        <v>9120</v>
      </c>
    </row>
    <row r="584" spans="1:18" x14ac:dyDescent="0.3">
      <c r="A584" s="116" t="s">
        <v>394</v>
      </c>
      <c r="B584" s="116" t="s">
        <v>322</v>
      </c>
      <c r="C584" s="116"/>
      <c r="D584" s="116" t="s">
        <v>554</v>
      </c>
      <c r="E584" s="116" t="s">
        <v>556</v>
      </c>
      <c r="F584" s="116">
        <v>40</v>
      </c>
      <c r="G584" s="118">
        <v>9624.1</v>
      </c>
      <c r="H584" s="116">
        <v>0</v>
      </c>
      <c r="I584" s="116" t="s">
        <v>322</v>
      </c>
      <c r="J584" s="118">
        <v>0</v>
      </c>
      <c r="K584" s="118">
        <v>0</v>
      </c>
      <c r="L584" s="118">
        <v>0</v>
      </c>
      <c r="M584" s="118">
        <v>0</v>
      </c>
      <c r="N584" s="118">
        <v>0</v>
      </c>
      <c r="O584" s="118">
        <v>2195.85</v>
      </c>
      <c r="P584" s="110">
        <v>1383.26</v>
      </c>
      <c r="Q584" s="110">
        <v>1320.82</v>
      </c>
      <c r="R584" s="110">
        <v>9115.8700000000008</v>
      </c>
    </row>
    <row r="585" spans="1:18" x14ac:dyDescent="0.3">
      <c r="A585" s="116" t="s">
        <v>394</v>
      </c>
      <c r="B585" s="116" t="s">
        <v>322</v>
      </c>
      <c r="C585" s="116" t="s">
        <v>447</v>
      </c>
      <c r="D585" s="116" t="s">
        <v>554</v>
      </c>
      <c r="E585" s="116" t="s">
        <v>557</v>
      </c>
      <c r="F585" s="116">
        <v>40</v>
      </c>
      <c r="G585" s="118">
        <v>9502.6200000000008</v>
      </c>
      <c r="H585" s="116">
        <v>0</v>
      </c>
      <c r="I585" s="116" t="s">
        <v>322</v>
      </c>
      <c r="J585" s="118">
        <v>0</v>
      </c>
      <c r="K585" s="118">
        <v>0</v>
      </c>
      <c r="L585" s="118">
        <v>0</v>
      </c>
      <c r="M585" s="118">
        <v>0</v>
      </c>
      <c r="N585" s="118">
        <v>0</v>
      </c>
      <c r="O585" s="118">
        <v>3074.19</v>
      </c>
      <c r="P585" s="110">
        <v>1458.17</v>
      </c>
      <c r="Q585" s="110">
        <v>982.16</v>
      </c>
      <c r="R585" s="110">
        <v>10136.48</v>
      </c>
    </row>
    <row r="586" spans="1:18" x14ac:dyDescent="0.3">
      <c r="A586" s="116" t="s">
        <v>394</v>
      </c>
      <c r="B586" s="116" t="s">
        <v>322</v>
      </c>
      <c r="C586" s="116"/>
      <c r="D586" s="116" t="s">
        <v>554</v>
      </c>
      <c r="E586" s="116" t="s">
        <v>563</v>
      </c>
      <c r="F586" s="116">
        <v>40</v>
      </c>
      <c r="G586" s="118">
        <v>7681.16</v>
      </c>
      <c r="H586" s="116">
        <v>0</v>
      </c>
      <c r="I586" s="116" t="s">
        <v>322</v>
      </c>
      <c r="J586" s="118">
        <v>0</v>
      </c>
      <c r="K586" s="118">
        <v>0</v>
      </c>
      <c r="L586" s="118">
        <v>0</v>
      </c>
      <c r="M586" s="118">
        <v>0</v>
      </c>
      <c r="N586" s="118">
        <v>0</v>
      </c>
      <c r="O586" s="118">
        <v>3366.96</v>
      </c>
      <c r="P586" s="110">
        <v>1321.1</v>
      </c>
      <c r="Q586" s="110">
        <v>1009.95</v>
      </c>
      <c r="R586" s="110">
        <v>8717.07</v>
      </c>
    </row>
    <row r="587" spans="1:18" x14ac:dyDescent="0.3">
      <c r="A587" s="116" t="s">
        <v>394</v>
      </c>
      <c r="B587" s="116" t="s">
        <v>322</v>
      </c>
      <c r="C587" s="116"/>
      <c r="D587" s="116" t="s">
        <v>554</v>
      </c>
      <c r="E587" s="116" t="s">
        <v>566</v>
      </c>
      <c r="F587" s="116">
        <v>40</v>
      </c>
      <c r="G587" s="118">
        <v>7692.99</v>
      </c>
      <c r="H587" s="116">
        <v>0</v>
      </c>
      <c r="I587" s="116" t="s">
        <v>322</v>
      </c>
      <c r="J587" s="118">
        <v>0</v>
      </c>
      <c r="K587" s="118">
        <v>0</v>
      </c>
      <c r="L587" s="118">
        <v>0</v>
      </c>
      <c r="M587" s="118">
        <v>0</v>
      </c>
      <c r="N587" s="118">
        <v>0</v>
      </c>
      <c r="O587" s="118">
        <v>2927.8</v>
      </c>
      <c r="P587" s="110">
        <v>856.24</v>
      </c>
      <c r="Q587" s="110">
        <v>982.16</v>
      </c>
      <c r="R587" s="110">
        <v>8782.39</v>
      </c>
    </row>
    <row r="588" spans="1:18" x14ac:dyDescent="0.3">
      <c r="A588" s="116" t="s">
        <v>394</v>
      </c>
      <c r="B588" s="116" t="s">
        <v>322</v>
      </c>
      <c r="C588" s="116" t="s">
        <v>447</v>
      </c>
      <c r="D588" s="116" t="s">
        <v>554</v>
      </c>
      <c r="E588" s="116" t="s">
        <v>539</v>
      </c>
      <c r="F588" s="116">
        <v>40</v>
      </c>
      <c r="G588" s="118">
        <v>9458.5300000000007</v>
      </c>
      <c r="H588" s="116">
        <v>0</v>
      </c>
      <c r="I588" s="116" t="s">
        <v>322</v>
      </c>
      <c r="J588" s="118">
        <v>0</v>
      </c>
      <c r="K588" s="118">
        <v>0</v>
      </c>
      <c r="L588" s="118">
        <v>0</v>
      </c>
      <c r="M588" s="118">
        <v>0</v>
      </c>
      <c r="N588" s="118">
        <v>0</v>
      </c>
      <c r="O588" s="118">
        <v>3074.19</v>
      </c>
      <c r="P588" s="110">
        <v>1446.04</v>
      </c>
      <c r="Q588" s="110">
        <v>982.16</v>
      </c>
      <c r="R588" s="110">
        <v>10104.52</v>
      </c>
    </row>
    <row r="589" spans="1:18" x14ac:dyDescent="0.3">
      <c r="A589" s="116" t="s">
        <v>394</v>
      </c>
      <c r="B589" s="116" t="s">
        <v>322</v>
      </c>
      <c r="C589" s="116"/>
      <c r="D589" s="116" t="s">
        <v>554</v>
      </c>
      <c r="E589" s="116" t="s">
        <v>555</v>
      </c>
      <c r="F589" s="116">
        <v>40</v>
      </c>
      <c r="G589" s="118">
        <v>7333.62</v>
      </c>
      <c r="H589" s="116">
        <v>0</v>
      </c>
      <c r="I589" s="116" t="s">
        <v>322</v>
      </c>
      <c r="J589" s="118">
        <v>2444.54</v>
      </c>
      <c r="K589" s="118">
        <v>0</v>
      </c>
      <c r="L589" s="118">
        <v>0</v>
      </c>
      <c r="M589" s="118">
        <v>0</v>
      </c>
      <c r="N589" s="118">
        <v>0</v>
      </c>
      <c r="O589" s="118">
        <v>3105.23</v>
      </c>
      <c r="P589" s="110">
        <v>894.04</v>
      </c>
      <c r="Q589" s="110">
        <v>955.21</v>
      </c>
      <c r="R589" s="110">
        <v>11034.14</v>
      </c>
    </row>
    <row r="590" spans="1:18" x14ac:dyDescent="0.3">
      <c r="A590" s="116" t="s">
        <v>394</v>
      </c>
      <c r="B590" s="116" t="s">
        <v>322</v>
      </c>
      <c r="C590" s="116"/>
      <c r="D590" s="116" t="s">
        <v>554</v>
      </c>
      <c r="E590" s="116" t="s">
        <v>566</v>
      </c>
      <c r="F590" s="116">
        <v>40</v>
      </c>
      <c r="G590" s="118">
        <v>10012.950000000001</v>
      </c>
      <c r="H590" s="116">
        <v>0</v>
      </c>
      <c r="I590" s="116" t="s">
        <v>322</v>
      </c>
      <c r="J590" s="118">
        <v>0</v>
      </c>
      <c r="K590" s="118">
        <v>0</v>
      </c>
      <c r="L590" s="118">
        <v>0</v>
      </c>
      <c r="M590" s="118">
        <v>0</v>
      </c>
      <c r="N590" s="118">
        <v>0</v>
      </c>
      <c r="O590" s="118">
        <v>1383.03</v>
      </c>
      <c r="P590" s="110">
        <v>1862.18</v>
      </c>
      <c r="Q590" s="110">
        <v>1383.03</v>
      </c>
      <c r="R590" s="110">
        <v>8150.77</v>
      </c>
    </row>
    <row r="591" spans="1:18" x14ac:dyDescent="0.3">
      <c r="A591" s="116" t="s">
        <v>394</v>
      </c>
      <c r="B591" s="116" t="s">
        <v>322</v>
      </c>
      <c r="C591" s="116"/>
      <c r="D591" s="116" t="s">
        <v>554</v>
      </c>
      <c r="E591" s="116" t="s">
        <v>584</v>
      </c>
      <c r="F591" s="116">
        <v>40</v>
      </c>
      <c r="G591" s="118">
        <v>7010.83</v>
      </c>
      <c r="H591" s="116">
        <v>0</v>
      </c>
      <c r="I591" s="116" t="s">
        <v>322</v>
      </c>
      <c r="J591" s="118">
        <v>0</v>
      </c>
      <c r="K591" s="118">
        <v>0</v>
      </c>
      <c r="L591" s="118">
        <v>0</v>
      </c>
      <c r="M591" s="118">
        <v>0</v>
      </c>
      <c r="N591" s="118">
        <v>0</v>
      </c>
      <c r="O591" s="118">
        <v>3371.04</v>
      </c>
      <c r="P591" s="110">
        <v>794.09</v>
      </c>
      <c r="Q591" s="110">
        <v>905.18</v>
      </c>
      <c r="R591" s="110">
        <v>8682.6</v>
      </c>
    </row>
    <row r="592" spans="1:18" x14ac:dyDescent="0.3">
      <c r="A592" s="116" t="s">
        <v>394</v>
      </c>
      <c r="B592" s="116" t="s">
        <v>322</v>
      </c>
      <c r="C592" s="116" t="s">
        <v>585</v>
      </c>
      <c r="D592" s="116" t="s">
        <v>554</v>
      </c>
      <c r="E592" s="116" t="s">
        <v>377</v>
      </c>
      <c r="F592" s="116">
        <v>40</v>
      </c>
      <c r="G592" s="118">
        <v>8389.94</v>
      </c>
      <c r="H592" s="116">
        <v>0</v>
      </c>
      <c r="I592" s="116" t="s">
        <v>322</v>
      </c>
      <c r="J592" s="118">
        <v>0</v>
      </c>
      <c r="K592" s="118">
        <v>0</v>
      </c>
      <c r="L592" s="118">
        <v>0</v>
      </c>
      <c r="M592" s="118">
        <v>0</v>
      </c>
      <c r="N592" s="118">
        <v>0</v>
      </c>
      <c r="O592" s="118">
        <v>1610.29</v>
      </c>
      <c r="P592" s="110">
        <v>1158.43</v>
      </c>
      <c r="Q592" s="110">
        <v>959.44</v>
      </c>
      <c r="R592" s="110">
        <v>7882.36</v>
      </c>
    </row>
    <row r="593" spans="1:18" x14ac:dyDescent="0.3">
      <c r="A593" s="116" t="s">
        <v>394</v>
      </c>
      <c r="B593" s="116" t="s">
        <v>322</v>
      </c>
      <c r="C593" s="116"/>
      <c r="D593" s="116" t="s">
        <v>554</v>
      </c>
      <c r="E593" s="116" t="s">
        <v>584</v>
      </c>
      <c r="F593" s="116">
        <v>40</v>
      </c>
      <c r="G593" s="118">
        <v>6989.65</v>
      </c>
      <c r="H593" s="116">
        <v>0</v>
      </c>
      <c r="I593" s="116" t="s">
        <v>322</v>
      </c>
      <c r="J593" s="118">
        <v>0</v>
      </c>
      <c r="K593" s="118">
        <v>0</v>
      </c>
      <c r="L593" s="118">
        <v>0</v>
      </c>
      <c r="M593" s="118">
        <v>0</v>
      </c>
      <c r="N593" s="118">
        <v>0</v>
      </c>
      <c r="O593" s="118">
        <v>1903.06</v>
      </c>
      <c r="P593" s="110">
        <v>789.17</v>
      </c>
      <c r="Q593" s="110">
        <v>901.9</v>
      </c>
      <c r="R593" s="110">
        <v>7201.64</v>
      </c>
    </row>
    <row r="594" spans="1:18" x14ac:dyDescent="0.3">
      <c r="A594" s="116" t="s">
        <v>394</v>
      </c>
      <c r="B594" s="116" t="s">
        <v>322</v>
      </c>
      <c r="C594" s="116" t="s">
        <v>406</v>
      </c>
      <c r="D594" s="116" t="s">
        <v>554</v>
      </c>
      <c r="E594" s="116" t="s">
        <v>564</v>
      </c>
      <c r="F594" s="116">
        <v>40</v>
      </c>
      <c r="G594" s="118">
        <v>8888.3799999999992</v>
      </c>
      <c r="H594" s="116">
        <v>0</v>
      </c>
      <c r="I594" s="116" t="s">
        <v>322</v>
      </c>
      <c r="J594" s="118">
        <v>0</v>
      </c>
      <c r="K594" s="118">
        <v>0</v>
      </c>
      <c r="L594" s="118">
        <v>0</v>
      </c>
      <c r="M594" s="118">
        <v>0</v>
      </c>
      <c r="N594" s="118">
        <v>0</v>
      </c>
      <c r="O594" s="118">
        <v>3074.19</v>
      </c>
      <c r="P594" s="110">
        <v>1281.29</v>
      </c>
      <c r="Q594" s="110">
        <v>1011.1</v>
      </c>
      <c r="R594" s="110">
        <v>9670.18</v>
      </c>
    </row>
    <row r="595" spans="1:18" x14ac:dyDescent="0.3">
      <c r="A595" s="116" t="s">
        <v>394</v>
      </c>
      <c r="B595" s="116" t="s">
        <v>322</v>
      </c>
      <c r="C595" s="116" t="s">
        <v>375</v>
      </c>
      <c r="D595" s="116" t="s">
        <v>554</v>
      </c>
      <c r="E595" s="116" t="s">
        <v>569</v>
      </c>
      <c r="F595" s="116">
        <v>40</v>
      </c>
      <c r="G595" s="118">
        <v>12088.76</v>
      </c>
      <c r="H595" s="116">
        <v>0</v>
      </c>
      <c r="I595" s="116" t="s">
        <v>322</v>
      </c>
      <c r="J595" s="118">
        <v>0</v>
      </c>
      <c r="K595" s="118">
        <v>0</v>
      </c>
      <c r="L595" s="118">
        <v>0</v>
      </c>
      <c r="M595" s="118">
        <v>0</v>
      </c>
      <c r="N595" s="118">
        <v>0</v>
      </c>
      <c r="O595" s="118">
        <v>2195.85</v>
      </c>
      <c r="P595" s="110">
        <v>90.59</v>
      </c>
      <c r="Q595" s="110">
        <v>1010.78</v>
      </c>
      <c r="R595" s="110">
        <v>13183.24</v>
      </c>
    </row>
    <row r="596" spans="1:18" x14ac:dyDescent="0.3">
      <c r="G596" s="110"/>
    </row>
    <row r="597" spans="1:18" x14ac:dyDescent="0.3">
      <c r="G597" s="110"/>
    </row>
  </sheetData>
  <mergeCells count="2">
    <mergeCell ref="V2:W2"/>
    <mergeCell ref="Z10:AA10"/>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C1F84-6ABD-4534-822D-3F1EDA10D055}">
  <dimension ref="A1:N72"/>
  <sheetViews>
    <sheetView workbookViewId="0">
      <selection activeCell="E59" sqref="E59"/>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604</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602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6*80</f>
        <v>480</v>
      </c>
      <c r="D10" s="18">
        <v>118.66</v>
      </c>
      <c r="E10" s="19">
        <f>D10*C10</f>
        <v>56956.799999999996</v>
      </c>
      <c r="F10" s="6"/>
      <c r="G10" s="13" t="s">
        <v>98</v>
      </c>
      <c r="H10" s="11">
        <v>24.75</v>
      </c>
      <c r="I10" s="6"/>
      <c r="J10" s="6"/>
      <c r="K10" s="6"/>
      <c r="L10" s="6"/>
      <c r="M10" s="6"/>
      <c r="N10" s="6"/>
    </row>
    <row r="11" spans="1:14" ht="15" thickBot="1" x14ac:dyDescent="0.35">
      <c r="A11" s="6"/>
      <c r="B11" s="15" t="s">
        <v>99</v>
      </c>
      <c r="C11" s="18">
        <f>6*80</f>
        <v>480</v>
      </c>
      <c r="D11" s="20">
        <v>83.05</v>
      </c>
      <c r="E11" s="19">
        <f>D11*C11</f>
        <v>39864</v>
      </c>
      <c r="F11" s="6"/>
      <c r="G11" s="6"/>
      <c r="H11" s="21"/>
      <c r="I11" s="6"/>
      <c r="J11" s="6"/>
      <c r="K11" s="6"/>
      <c r="L11" s="6"/>
      <c r="M11" s="6"/>
      <c r="N11" s="6"/>
    </row>
    <row r="12" spans="1:14" ht="15" thickBot="1" x14ac:dyDescent="0.35">
      <c r="A12" s="6"/>
      <c r="B12" s="13" t="s">
        <v>100</v>
      </c>
      <c r="C12" s="18">
        <f>6*160</f>
        <v>960</v>
      </c>
      <c r="D12" s="20">
        <v>69.42</v>
      </c>
      <c r="E12" s="19">
        <f>D12*C12</f>
        <v>66643.199999999997</v>
      </c>
      <c r="F12" s="6"/>
      <c r="G12" s="6"/>
      <c r="H12" s="6"/>
      <c r="I12" s="6"/>
      <c r="J12" s="6"/>
      <c r="K12" s="6"/>
      <c r="L12" s="6"/>
      <c r="M12" s="6"/>
      <c r="N12" s="6"/>
    </row>
    <row r="13" spans="1:14" ht="15" thickBot="1" x14ac:dyDescent="0.35">
      <c r="A13" s="6"/>
      <c r="B13" s="15" t="s">
        <v>101</v>
      </c>
      <c r="C13" s="18">
        <f>6*160</f>
        <v>960</v>
      </c>
      <c r="D13" s="20">
        <v>40.56</v>
      </c>
      <c r="E13" s="19">
        <f>D13*C13</f>
        <v>38937.600000000006</v>
      </c>
      <c r="F13" s="6"/>
      <c r="G13" s="227" t="s">
        <v>102</v>
      </c>
      <c r="H13" s="228"/>
      <c r="I13" s="229"/>
      <c r="J13" s="11" t="s">
        <v>103</v>
      </c>
      <c r="K13" s="6"/>
      <c r="L13" s="6"/>
      <c r="M13" s="6"/>
      <c r="N13" s="6"/>
    </row>
    <row r="14" spans="1:14" ht="15" thickBot="1" x14ac:dyDescent="0.35">
      <c r="A14" s="6"/>
      <c r="B14" s="15" t="s">
        <v>104</v>
      </c>
      <c r="C14" s="18">
        <f>6*160</f>
        <v>960</v>
      </c>
      <c r="D14" s="20">
        <v>31.5</v>
      </c>
      <c r="E14" s="19">
        <f>D14*C14</f>
        <v>30240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232641.6</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35">
        <v>30</v>
      </c>
      <c r="D25" s="36">
        <v>150</v>
      </c>
      <c r="E25" s="19">
        <f>C25*D25</f>
        <v>4500</v>
      </c>
      <c r="F25" s="6"/>
      <c r="G25" s="8" t="s">
        <v>125</v>
      </c>
      <c r="H25" s="6"/>
      <c r="I25" s="6"/>
      <c r="J25" s="6"/>
      <c r="K25" s="6"/>
      <c r="L25" s="6"/>
      <c r="M25" s="6"/>
      <c r="N25" s="6"/>
    </row>
    <row r="26" spans="1:14" ht="15" thickBot="1" x14ac:dyDescent="0.35">
      <c r="A26" s="6"/>
      <c r="B26" s="34" t="s">
        <v>603</v>
      </c>
      <c r="C26" s="35">
        <v>300</v>
      </c>
      <c r="D26" s="36">
        <v>5</v>
      </c>
      <c r="E26" s="19">
        <f>C26*D26</f>
        <v>1500</v>
      </c>
      <c r="F26" s="6"/>
      <c r="G26" s="37" t="s">
        <v>127</v>
      </c>
      <c r="H26" s="38"/>
      <c r="I26" s="38"/>
      <c r="J26" s="39"/>
      <c r="K26" s="40"/>
      <c r="L26" s="6"/>
      <c r="M26" s="6"/>
      <c r="N26" s="6"/>
    </row>
    <row r="27" spans="1:14" ht="15" thickBot="1" x14ac:dyDescent="0.35">
      <c r="A27" s="6"/>
      <c r="B27" s="34"/>
      <c r="C27" s="35"/>
      <c r="D27" s="36"/>
      <c r="E27" s="19">
        <f>C27*D27</f>
        <v>0</v>
      </c>
      <c r="F27" s="6"/>
      <c r="G27" s="34" t="s">
        <v>129</v>
      </c>
      <c r="H27" s="38" t="s">
        <v>130</v>
      </c>
      <c r="I27" s="35"/>
      <c r="J27" s="39">
        <v>3366.25</v>
      </c>
      <c r="K27" s="41">
        <f>I27*J27</f>
        <v>0</v>
      </c>
      <c r="L27" s="42" t="s">
        <v>131</v>
      </c>
      <c r="M27" s="6"/>
      <c r="N27" s="6"/>
    </row>
    <row r="28" spans="1:14" ht="15" thickBot="1" x14ac:dyDescent="0.35">
      <c r="A28" s="6"/>
      <c r="B28" s="34"/>
      <c r="C28" s="35"/>
      <c r="D28" s="36"/>
      <c r="E28" s="19">
        <f t="shared" ref="E28:E37" si="1">C28*D28</f>
        <v>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6000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c r="C40" s="35"/>
      <c r="D40" s="36"/>
      <c r="E40" s="19">
        <f>C40*D40</f>
        <v>0</v>
      </c>
      <c r="F40" s="6"/>
      <c r="G40" s="37" t="s">
        <v>149</v>
      </c>
      <c r="H40" s="38"/>
      <c r="I40" s="38"/>
      <c r="J40" s="39"/>
      <c r="K40" s="40"/>
      <c r="L40" s="6"/>
      <c r="M40" s="6"/>
      <c r="N40" s="6"/>
    </row>
    <row r="41" spans="1:14" ht="15" thickBot="1" x14ac:dyDescent="0.35">
      <c r="A41" s="6"/>
      <c r="B41" s="34"/>
      <c r="C41" s="35"/>
      <c r="D41" s="36"/>
      <c r="E41" s="19">
        <f>C41*D41</f>
        <v>0</v>
      </c>
      <c r="F41" s="6"/>
      <c r="G41" s="34" t="s">
        <v>151</v>
      </c>
      <c r="H41" s="38" t="s">
        <v>130</v>
      </c>
      <c r="I41" s="48"/>
      <c r="J41" s="39">
        <v>1860.06</v>
      </c>
      <c r="K41" s="41">
        <f t="shared" ref="K41:K42" si="3">I41*J41</f>
        <v>0</v>
      </c>
      <c r="L41" s="6" t="s">
        <v>131</v>
      </c>
      <c r="M41" s="6"/>
      <c r="N41" s="6"/>
    </row>
    <row r="42" spans="1:14" ht="15" thickBot="1" x14ac:dyDescent="0.35">
      <c r="A42" s="6"/>
      <c r="B42" s="34"/>
      <c r="C42" s="48"/>
      <c r="D42" s="36"/>
      <c r="E42" s="19">
        <f t="shared" ref="E42:E53" si="4">C42*D42</f>
        <v>0</v>
      </c>
      <c r="F42" s="6"/>
      <c r="G42" s="34" t="s">
        <v>152</v>
      </c>
      <c r="H42" s="38" t="s">
        <v>130</v>
      </c>
      <c r="I42" s="48"/>
      <c r="J42" s="39">
        <v>326.83999999999997</v>
      </c>
      <c r="K42" s="41">
        <f t="shared" si="3"/>
        <v>0</v>
      </c>
      <c r="L42" s="6" t="s">
        <v>131</v>
      </c>
      <c r="M42" s="6"/>
      <c r="N42" s="6"/>
    </row>
    <row r="43" spans="1:14" ht="15" thickBot="1" x14ac:dyDescent="0.35">
      <c r="A43" s="6"/>
      <c r="B43" s="34"/>
      <c r="C43" s="48"/>
      <c r="D43" s="36"/>
      <c r="E43" s="19">
        <f t="shared" si="4"/>
        <v>0</v>
      </c>
      <c r="F43" s="6"/>
      <c r="G43" s="34" t="s">
        <v>153</v>
      </c>
      <c r="H43" s="38" t="s">
        <v>142</v>
      </c>
      <c r="I43" s="48"/>
      <c r="J43" s="39">
        <v>2500</v>
      </c>
      <c r="K43" s="41">
        <f>I43*J43</f>
        <v>0</v>
      </c>
      <c r="L43" s="6" t="s">
        <v>139</v>
      </c>
      <c r="M43" s="6"/>
      <c r="N43" s="6"/>
    </row>
    <row r="44" spans="1:14" ht="15" thickBot="1" x14ac:dyDescent="0.35">
      <c r="A44" s="6"/>
      <c r="B44" s="34"/>
      <c r="C44" s="48"/>
      <c r="D44" s="36"/>
      <c r="E44" s="19">
        <f t="shared" si="4"/>
        <v>0</v>
      </c>
      <c r="F44" s="6"/>
      <c r="G44" s="34" t="s">
        <v>154</v>
      </c>
      <c r="H44" s="38" t="s">
        <v>142</v>
      </c>
      <c r="I44" s="48"/>
      <c r="J44" s="39">
        <v>500</v>
      </c>
      <c r="K44" s="41">
        <f>I44*J44</f>
        <v>0</v>
      </c>
      <c r="L44" s="6" t="s">
        <v>139</v>
      </c>
      <c r="M44" s="6"/>
      <c r="N44" s="6"/>
    </row>
    <row r="45" spans="1:14" ht="15" thickBot="1" x14ac:dyDescent="0.35">
      <c r="A45" s="6"/>
      <c r="B45" s="34"/>
      <c r="C45" s="48"/>
      <c r="D45" s="36"/>
      <c r="E45" s="19">
        <f t="shared" si="4"/>
        <v>0</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0</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6000</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586256.83200000005</v>
      </c>
      <c r="F57" s="6"/>
      <c r="G57" s="37" t="s">
        <v>171</v>
      </c>
      <c r="H57" s="38"/>
      <c r="I57" s="38"/>
      <c r="J57" s="39"/>
      <c r="K57" s="40"/>
      <c r="L57" s="6"/>
      <c r="M57" s="6"/>
      <c r="N57" s="6"/>
    </row>
    <row r="58" spans="1:14" ht="15" thickBot="1" x14ac:dyDescent="0.35">
      <c r="A58" s="6"/>
      <c r="B58" s="230" t="s">
        <v>172</v>
      </c>
      <c r="C58" s="232"/>
      <c r="D58" s="56" t="s">
        <v>173</v>
      </c>
      <c r="E58" s="57">
        <f>E55*J22</f>
        <v>7620</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593876.83200000005</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464F7-385D-4BD5-B12D-40FBC82AFC97}">
  <dimension ref="A1:N72"/>
  <sheetViews>
    <sheetView workbookViewId="0">
      <selection activeCell="C18" sqref="C18"/>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607</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602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6*80</f>
        <v>480</v>
      </c>
      <c r="D10" s="18">
        <v>118.66</v>
      </c>
      <c r="E10" s="19">
        <f>D10*C10</f>
        <v>56956.799999999996</v>
      </c>
      <c r="F10" s="6"/>
      <c r="G10" s="13" t="s">
        <v>98</v>
      </c>
      <c r="H10" s="11">
        <v>24.75</v>
      </c>
      <c r="I10" s="6"/>
      <c r="J10" s="6"/>
      <c r="K10" s="6"/>
      <c r="L10" s="6"/>
      <c r="M10" s="6"/>
      <c r="N10" s="6"/>
    </row>
    <row r="11" spans="1:14" ht="15" thickBot="1" x14ac:dyDescent="0.35">
      <c r="A11" s="6"/>
      <c r="B11" s="15" t="s">
        <v>99</v>
      </c>
      <c r="C11" s="18">
        <f>6*80</f>
        <v>480</v>
      </c>
      <c r="D11" s="20">
        <v>83.05</v>
      </c>
      <c r="E11" s="19">
        <f>D11*C11</f>
        <v>39864</v>
      </c>
      <c r="F11" s="6"/>
      <c r="G11" s="6"/>
      <c r="H11" s="21"/>
      <c r="I11" s="6"/>
      <c r="J11" s="6"/>
      <c r="K11" s="6"/>
      <c r="L11" s="6"/>
      <c r="M11" s="6"/>
      <c r="N11" s="6"/>
    </row>
    <row r="12" spans="1:14" ht="15" thickBot="1" x14ac:dyDescent="0.35">
      <c r="A12" s="6"/>
      <c r="B12" s="13" t="s">
        <v>100</v>
      </c>
      <c r="C12" s="18">
        <f>6*160</f>
        <v>960</v>
      </c>
      <c r="D12" s="20">
        <v>69.42</v>
      </c>
      <c r="E12" s="19">
        <f>D12*C12</f>
        <v>66643.199999999997</v>
      </c>
      <c r="F12" s="6"/>
      <c r="G12" s="6"/>
      <c r="H12" s="6"/>
      <c r="I12" s="6"/>
      <c r="J12" s="6"/>
      <c r="K12" s="6"/>
      <c r="L12" s="6"/>
      <c r="M12" s="6"/>
      <c r="N12" s="6"/>
    </row>
    <row r="13" spans="1:14" ht="15" thickBot="1" x14ac:dyDescent="0.35">
      <c r="A13" s="6"/>
      <c r="B13" s="15" t="s">
        <v>101</v>
      </c>
      <c r="C13" s="18">
        <f>6*160</f>
        <v>960</v>
      </c>
      <c r="D13" s="20">
        <v>40.56</v>
      </c>
      <c r="E13" s="19">
        <f>D13*C13</f>
        <v>38937.600000000006</v>
      </c>
      <c r="F13" s="6"/>
      <c r="G13" s="227" t="s">
        <v>102</v>
      </c>
      <c r="H13" s="228"/>
      <c r="I13" s="229"/>
      <c r="J13" s="11" t="s">
        <v>103</v>
      </c>
      <c r="K13" s="6"/>
      <c r="L13" s="6"/>
      <c r="M13" s="6"/>
      <c r="N13" s="6"/>
    </row>
    <row r="14" spans="1:14" ht="15" thickBot="1" x14ac:dyDescent="0.35">
      <c r="A14" s="6"/>
      <c r="B14" s="15" t="s">
        <v>104</v>
      </c>
      <c r="C14" s="18">
        <f>6*160</f>
        <v>960</v>
      </c>
      <c r="D14" s="20">
        <v>31.5</v>
      </c>
      <c r="E14" s="19">
        <f>D14*C14</f>
        <v>30240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232641.6</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35">
        <v>30</v>
      </c>
      <c r="D25" s="36">
        <v>150</v>
      </c>
      <c r="E25" s="19">
        <f>C25*D25</f>
        <v>4500</v>
      </c>
      <c r="F25" s="6"/>
      <c r="G25" s="8" t="s">
        <v>125</v>
      </c>
      <c r="H25" s="6"/>
      <c r="I25" s="6"/>
      <c r="J25" s="6"/>
      <c r="K25" s="6"/>
      <c r="L25" s="6"/>
      <c r="M25" s="6"/>
      <c r="N25" s="6"/>
    </row>
    <row r="26" spans="1:14" ht="15" thickBot="1" x14ac:dyDescent="0.35">
      <c r="A26" s="6"/>
      <c r="B26" s="34" t="s">
        <v>603</v>
      </c>
      <c r="C26" s="35">
        <v>300</v>
      </c>
      <c r="D26" s="36">
        <v>5</v>
      </c>
      <c r="E26" s="19">
        <f>C26*D26</f>
        <v>1500</v>
      </c>
      <c r="F26" s="6"/>
      <c r="G26" s="37" t="s">
        <v>127</v>
      </c>
      <c r="H26" s="38"/>
      <c r="I26" s="38"/>
      <c r="J26" s="39"/>
      <c r="K26" s="40"/>
      <c r="L26" s="6"/>
      <c r="M26" s="6"/>
      <c r="N26" s="6"/>
    </row>
    <row r="27" spans="1:14" ht="15" thickBot="1" x14ac:dyDescent="0.35">
      <c r="A27" s="6"/>
      <c r="B27" s="34"/>
      <c r="C27" s="35"/>
      <c r="D27" s="36"/>
      <c r="E27" s="19">
        <f>C27*D27</f>
        <v>0</v>
      </c>
      <c r="F27" s="6"/>
      <c r="G27" s="34" t="s">
        <v>129</v>
      </c>
      <c r="H27" s="38" t="s">
        <v>130</v>
      </c>
      <c r="I27" s="35"/>
      <c r="J27" s="39">
        <v>3366.25</v>
      </c>
      <c r="K27" s="41">
        <f>I27*J27</f>
        <v>0</v>
      </c>
      <c r="L27" s="42" t="s">
        <v>131</v>
      </c>
      <c r="M27" s="6"/>
      <c r="N27" s="6"/>
    </row>
    <row r="28" spans="1:14" ht="15" thickBot="1" x14ac:dyDescent="0.35">
      <c r="A28" s="6"/>
      <c r="B28" s="34"/>
      <c r="C28" s="35"/>
      <c r="D28" s="36"/>
      <c r="E28" s="19">
        <f t="shared" ref="E28:E37" si="1">C28*D28</f>
        <v>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6000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c r="C40" s="35"/>
      <c r="D40" s="36"/>
      <c r="E40" s="19">
        <f>C40*D40</f>
        <v>0</v>
      </c>
      <c r="F40" s="6"/>
      <c r="G40" s="37" t="s">
        <v>149</v>
      </c>
      <c r="H40" s="38"/>
      <c r="I40" s="38"/>
      <c r="J40" s="39"/>
      <c r="K40" s="40"/>
      <c r="L40" s="6"/>
      <c r="M40" s="6"/>
      <c r="N40" s="6"/>
    </row>
    <row r="41" spans="1:14" ht="15" thickBot="1" x14ac:dyDescent="0.35">
      <c r="A41" s="6"/>
      <c r="B41" s="34"/>
      <c r="C41" s="35"/>
      <c r="D41" s="36"/>
      <c r="E41" s="19">
        <f>C41*D41</f>
        <v>0</v>
      </c>
      <c r="F41" s="6"/>
      <c r="G41" s="34" t="s">
        <v>151</v>
      </c>
      <c r="H41" s="38" t="s">
        <v>130</v>
      </c>
      <c r="I41" s="48"/>
      <c r="J41" s="39">
        <v>1860.06</v>
      </c>
      <c r="K41" s="41">
        <f t="shared" ref="K41:K42" si="3">I41*J41</f>
        <v>0</v>
      </c>
      <c r="L41" s="6" t="s">
        <v>131</v>
      </c>
      <c r="M41" s="6"/>
      <c r="N41" s="6"/>
    </row>
    <row r="42" spans="1:14" ht="15" thickBot="1" x14ac:dyDescent="0.35">
      <c r="A42" s="6"/>
      <c r="B42" s="34"/>
      <c r="C42" s="48"/>
      <c r="D42" s="36"/>
      <c r="E42" s="19">
        <f t="shared" ref="E42:E53" si="4">C42*D42</f>
        <v>0</v>
      </c>
      <c r="F42" s="6"/>
      <c r="G42" s="34" t="s">
        <v>152</v>
      </c>
      <c r="H42" s="38" t="s">
        <v>130</v>
      </c>
      <c r="I42" s="48"/>
      <c r="J42" s="39">
        <v>326.83999999999997</v>
      </c>
      <c r="K42" s="41">
        <f t="shared" si="3"/>
        <v>0</v>
      </c>
      <c r="L42" s="6" t="s">
        <v>131</v>
      </c>
      <c r="M42" s="6"/>
      <c r="N42" s="6"/>
    </row>
    <row r="43" spans="1:14" ht="15" thickBot="1" x14ac:dyDescent="0.35">
      <c r="A43" s="6"/>
      <c r="B43" s="34"/>
      <c r="C43" s="48"/>
      <c r="D43" s="36"/>
      <c r="E43" s="19">
        <f t="shared" si="4"/>
        <v>0</v>
      </c>
      <c r="F43" s="6"/>
      <c r="G43" s="34" t="s">
        <v>153</v>
      </c>
      <c r="H43" s="38" t="s">
        <v>142</v>
      </c>
      <c r="I43" s="48"/>
      <c r="J43" s="39">
        <v>2500</v>
      </c>
      <c r="K43" s="41">
        <f>I43*J43</f>
        <v>0</v>
      </c>
      <c r="L43" s="6" t="s">
        <v>139</v>
      </c>
      <c r="M43" s="6"/>
      <c r="N43" s="6"/>
    </row>
    <row r="44" spans="1:14" ht="15" thickBot="1" x14ac:dyDescent="0.35">
      <c r="A44" s="6"/>
      <c r="B44" s="34"/>
      <c r="C44" s="48"/>
      <c r="D44" s="36"/>
      <c r="E44" s="19">
        <f t="shared" si="4"/>
        <v>0</v>
      </c>
      <c r="F44" s="6"/>
      <c r="G44" s="34" t="s">
        <v>154</v>
      </c>
      <c r="H44" s="38" t="s">
        <v>142</v>
      </c>
      <c r="I44" s="48"/>
      <c r="J44" s="39">
        <v>500</v>
      </c>
      <c r="K44" s="41">
        <f>I44*J44</f>
        <v>0</v>
      </c>
      <c r="L44" s="6" t="s">
        <v>139</v>
      </c>
      <c r="M44" s="6"/>
      <c r="N44" s="6"/>
    </row>
    <row r="45" spans="1:14" ht="15" thickBot="1" x14ac:dyDescent="0.35">
      <c r="A45" s="6"/>
      <c r="B45" s="34"/>
      <c r="C45" s="48"/>
      <c r="D45" s="36"/>
      <c r="E45" s="19">
        <f t="shared" si="4"/>
        <v>0</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0</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6000</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586256.83200000005</v>
      </c>
      <c r="F57" s="6"/>
      <c r="G57" s="37" t="s">
        <v>171</v>
      </c>
      <c r="H57" s="38"/>
      <c r="I57" s="38"/>
      <c r="J57" s="39"/>
      <c r="K57" s="40"/>
      <c r="L57" s="6"/>
      <c r="M57" s="6"/>
      <c r="N57" s="6"/>
    </row>
    <row r="58" spans="1:14" ht="15" thickBot="1" x14ac:dyDescent="0.35">
      <c r="A58" s="6"/>
      <c r="B58" s="230" t="s">
        <v>172</v>
      </c>
      <c r="C58" s="232"/>
      <c r="D58" s="56" t="s">
        <v>173</v>
      </c>
      <c r="E58" s="57">
        <f>E55*J22</f>
        <v>7620</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593876.83200000005</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3CBBD-D103-4CCA-8484-9F85AC080B2C}">
  <dimension ref="A1:N72"/>
  <sheetViews>
    <sheetView workbookViewId="0">
      <selection activeCell="B2" sqref="B2"/>
    </sheetView>
  </sheetViews>
  <sheetFormatPr defaultRowHeight="14.4" x14ac:dyDescent="0.3"/>
  <cols>
    <col min="2" max="2" width="38.6640625" customWidth="1"/>
    <col min="3" max="4" width="13.6640625" customWidth="1"/>
    <col min="5" max="5" width="18.5546875" customWidth="1"/>
    <col min="6" max="6" width="4.88671875" customWidth="1"/>
    <col min="7" max="7" width="41.5546875" customWidth="1"/>
    <col min="8" max="8" width="8.6640625" customWidth="1"/>
    <col min="10" max="10" width="10.33203125" customWidth="1"/>
    <col min="12" max="12" width="7.88671875" bestFit="1" customWidth="1"/>
  </cols>
  <sheetData>
    <row r="1" spans="1:14" x14ac:dyDescent="0.3">
      <c r="A1" s="6"/>
      <c r="B1" s="7" t="s">
        <v>609</v>
      </c>
      <c r="C1" s="6"/>
      <c r="D1" s="6"/>
      <c r="E1" s="6"/>
      <c r="F1" s="6"/>
      <c r="G1" s="6"/>
      <c r="H1" s="6"/>
      <c r="I1" s="6"/>
      <c r="J1" s="6"/>
      <c r="K1" s="6"/>
      <c r="L1" s="6"/>
      <c r="M1" s="6"/>
      <c r="N1" s="6"/>
    </row>
    <row r="2" spans="1:14" x14ac:dyDescent="0.3">
      <c r="A2" s="6"/>
      <c r="B2" s="7"/>
      <c r="C2" s="6"/>
      <c r="D2" s="6"/>
      <c r="E2" s="6"/>
      <c r="F2" s="6"/>
      <c r="G2" s="6"/>
      <c r="H2" s="6"/>
      <c r="I2" s="6"/>
      <c r="J2" s="6"/>
      <c r="K2" s="6"/>
      <c r="L2" s="6"/>
      <c r="M2" s="6"/>
      <c r="N2" s="6"/>
    </row>
    <row r="3" spans="1:14" ht="15" thickBot="1" x14ac:dyDescent="0.35">
      <c r="A3" s="6"/>
      <c r="B3" s="6"/>
      <c r="C3" s="6"/>
      <c r="D3" s="6"/>
      <c r="E3" s="6"/>
      <c r="F3" s="6"/>
      <c r="G3" s="8" t="s">
        <v>76</v>
      </c>
      <c r="H3" s="6"/>
      <c r="I3" s="6"/>
      <c r="J3" s="6"/>
      <c r="K3" s="6"/>
      <c r="L3" s="6"/>
      <c r="M3" s="6"/>
      <c r="N3" s="6"/>
    </row>
    <row r="4" spans="1:14" ht="27" thickBot="1" x14ac:dyDescent="0.35">
      <c r="A4" s="6"/>
      <c r="B4" s="9" t="s">
        <v>77</v>
      </c>
      <c r="C4" s="221"/>
      <c r="D4" s="222"/>
      <c r="E4" s="223"/>
      <c r="F4" s="6"/>
      <c r="G4" s="9" t="s">
        <v>78</v>
      </c>
      <c r="H4" s="10" t="s">
        <v>79</v>
      </c>
      <c r="I4" s="6"/>
      <c r="J4" s="6"/>
      <c r="K4" s="6"/>
      <c r="L4" s="6"/>
      <c r="M4" s="6"/>
      <c r="N4" s="6"/>
    </row>
    <row r="5" spans="1:14" ht="15" thickBot="1" x14ac:dyDescent="0.35">
      <c r="A5" s="6"/>
      <c r="B5" s="224" t="s">
        <v>80</v>
      </c>
      <c r="C5" s="10" t="s">
        <v>81</v>
      </c>
      <c r="D5" s="225" t="s">
        <v>602</v>
      </c>
      <c r="E5" s="12" t="s">
        <v>82</v>
      </c>
      <c r="F5" s="6"/>
      <c r="G5" s="13" t="s">
        <v>83</v>
      </c>
      <c r="H5" s="11">
        <v>118.66</v>
      </c>
      <c r="I5" s="6"/>
      <c r="J5" s="6"/>
      <c r="K5" s="6"/>
      <c r="L5" s="6"/>
      <c r="M5" s="6"/>
      <c r="N5" s="6"/>
    </row>
    <row r="6" spans="1:14" ht="15" thickBot="1" x14ac:dyDescent="0.35">
      <c r="A6" s="6"/>
      <c r="B6" s="224"/>
      <c r="C6" s="11" t="s">
        <v>84</v>
      </c>
      <c r="D6" s="225"/>
      <c r="E6" s="14">
        <v>80</v>
      </c>
      <c r="F6" s="6"/>
      <c r="G6" s="13" t="s">
        <v>85</v>
      </c>
      <c r="H6" s="11">
        <v>83.05</v>
      </c>
      <c r="I6" s="6"/>
      <c r="J6" s="6"/>
      <c r="K6" s="6"/>
      <c r="L6" s="6"/>
      <c r="M6" s="6"/>
      <c r="N6" s="6"/>
    </row>
    <row r="7" spans="1:14" ht="15" thickBot="1" x14ac:dyDescent="0.35">
      <c r="A7" s="6"/>
      <c r="B7" s="13" t="s">
        <v>86</v>
      </c>
      <c r="C7" s="15"/>
      <c r="D7" s="15"/>
      <c r="E7" s="16"/>
      <c r="F7" s="6"/>
      <c r="G7" s="13" t="s">
        <v>87</v>
      </c>
      <c r="H7" s="11">
        <v>69.42</v>
      </c>
      <c r="I7" s="6"/>
      <c r="J7" s="13" t="s">
        <v>88</v>
      </c>
      <c r="K7" s="11" t="s">
        <v>89</v>
      </c>
      <c r="L7" s="6"/>
      <c r="M7" s="6"/>
      <c r="N7" s="6"/>
    </row>
    <row r="8" spans="1:14" ht="15" thickBot="1" x14ac:dyDescent="0.35">
      <c r="A8" s="6"/>
      <c r="B8" s="9" t="s">
        <v>90</v>
      </c>
      <c r="C8" s="226" t="s">
        <v>91</v>
      </c>
      <c r="D8" s="226" t="s">
        <v>92</v>
      </c>
      <c r="E8" s="226" t="s">
        <v>93</v>
      </c>
      <c r="F8" s="6"/>
      <c r="G8" s="13" t="s">
        <v>94</v>
      </c>
      <c r="H8" s="11">
        <v>40.56</v>
      </c>
      <c r="I8" s="6"/>
      <c r="J8" s="13" t="s">
        <v>95</v>
      </c>
      <c r="K8" s="11">
        <v>2.52</v>
      </c>
      <c r="L8" s="6"/>
      <c r="M8" s="6"/>
      <c r="N8" s="6"/>
    </row>
    <row r="9" spans="1:14" ht="15" thickBot="1" x14ac:dyDescent="0.35">
      <c r="A9" s="6"/>
      <c r="B9" s="13" t="s">
        <v>96</v>
      </c>
      <c r="C9" s="226"/>
      <c r="D9" s="226"/>
      <c r="E9" s="226"/>
      <c r="F9" s="6"/>
      <c r="G9" s="13" t="s">
        <v>97</v>
      </c>
      <c r="H9" s="17">
        <v>31.5</v>
      </c>
      <c r="I9" s="6"/>
      <c r="J9" s="6"/>
      <c r="K9" s="6"/>
      <c r="L9" s="6"/>
      <c r="M9" s="6"/>
      <c r="N9" s="6"/>
    </row>
    <row r="10" spans="1:14" ht="15" thickBot="1" x14ac:dyDescent="0.35">
      <c r="A10" s="6"/>
      <c r="B10" s="13" t="s">
        <v>83</v>
      </c>
      <c r="C10" s="18">
        <f>6*80</f>
        <v>480</v>
      </c>
      <c r="D10" s="18">
        <v>118.66</v>
      </c>
      <c r="E10" s="19">
        <f>D10*C10</f>
        <v>56956.799999999996</v>
      </c>
      <c r="F10" s="6"/>
      <c r="G10" s="13" t="s">
        <v>98</v>
      </c>
      <c r="H10" s="11">
        <v>24.75</v>
      </c>
      <c r="I10" s="6"/>
      <c r="J10" s="6"/>
      <c r="K10" s="6"/>
      <c r="L10" s="6"/>
      <c r="M10" s="6"/>
      <c r="N10" s="6"/>
    </row>
    <row r="11" spans="1:14" ht="15" thickBot="1" x14ac:dyDescent="0.35">
      <c r="A11" s="6"/>
      <c r="B11" s="15" t="s">
        <v>99</v>
      </c>
      <c r="C11" s="18">
        <f>6*80</f>
        <v>480</v>
      </c>
      <c r="D11" s="20">
        <v>83.05</v>
      </c>
      <c r="E11" s="19">
        <f>D11*C11</f>
        <v>39864</v>
      </c>
      <c r="F11" s="6"/>
      <c r="G11" s="6"/>
      <c r="H11" s="21"/>
      <c r="I11" s="6"/>
      <c r="J11" s="6"/>
      <c r="K11" s="6"/>
      <c r="L11" s="6"/>
      <c r="M11" s="6"/>
      <c r="N11" s="6"/>
    </row>
    <row r="12" spans="1:14" ht="15" thickBot="1" x14ac:dyDescent="0.35">
      <c r="A12" s="6"/>
      <c r="B12" s="13" t="s">
        <v>100</v>
      </c>
      <c r="C12" s="18">
        <f>6*160</f>
        <v>960</v>
      </c>
      <c r="D12" s="20">
        <v>69.42</v>
      </c>
      <c r="E12" s="19">
        <f>D12*C12</f>
        <v>66643.199999999997</v>
      </c>
      <c r="F12" s="6"/>
      <c r="G12" s="6"/>
      <c r="H12" s="6"/>
      <c r="I12" s="6"/>
      <c r="J12" s="6"/>
      <c r="K12" s="6"/>
      <c r="L12" s="6"/>
      <c r="M12" s="6"/>
      <c r="N12" s="6"/>
    </row>
    <row r="13" spans="1:14" ht="15" thickBot="1" x14ac:dyDescent="0.35">
      <c r="A13" s="6"/>
      <c r="B13" s="15" t="s">
        <v>101</v>
      </c>
      <c r="C13" s="18">
        <f>6*160</f>
        <v>960</v>
      </c>
      <c r="D13" s="20">
        <v>40.56</v>
      </c>
      <c r="E13" s="19">
        <f>D13*C13</f>
        <v>38937.600000000006</v>
      </c>
      <c r="F13" s="6"/>
      <c r="G13" s="227" t="s">
        <v>102</v>
      </c>
      <c r="H13" s="228"/>
      <c r="I13" s="229"/>
      <c r="J13" s="11" t="s">
        <v>103</v>
      </c>
      <c r="K13" s="6"/>
      <c r="L13" s="6"/>
      <c r="M13" s="6"/>
      <c r="N13" s="6"/>
    </row>
    <row r="14" spans="1:14" ht="15" thickBot="1" x14ac:dyDescent="0.35">
      <c r="A14" s="6"/>
      <c r="B14" s="15" t="s">
        <v>104</v>
      </c>
      <c r="C14" s="18">
        <f>6*160</f>
        <v>960</v>
      </c>
      <c r="D14" s="20">
        <v>31.5</v>
      </c>
      <c r="E14" s="19">
        <f>D14*C14</f>
        <v>30240</v>
      </c>
      <c r="F14" s="6"/>
      <c r="G14" s="230" t="s">
        <v>105</v>
      </c>
      <c r="H14" s="231"/>
      <c r="I14" s="232"/>
      <c r="J14" s="23">
        <v>0.81789999999999996</v>
      </c>
      <c r="K14" s="6"/>
      <c r="L14" s="6"/>
      <c r="M14" s="6"/>
      <c r="N14" s="6"/>
    </row>
    <row r="15" spans="1:14" ht="15" thickBot="1" x14ac:dyDescent="0.35">
      <c r="A15" s="6"/>
      <c r="B15" s="13"/>
      <c r="C15" s="18"/>
      <c r="D15" s="20"/>
      <c r="E15" s="19">
        <f t="shared" ref="E15:E20" si="0">D15*C15</f>
        <v>0</v>
      </c>
      <c r="F15" s="6"/>
      <c r="G15" s="230" t="s">
        <v>106</v>
      </c>
      <c r="H15" s="231"/>
      <c r="I15" s="232"/>
      <c r="J15" s="23">
        <v>0.1729</v>
      </c>
      <c r="K15" s="6"/>
      <c r="L15" s="6"/>
      <c r="M15" s="6"/>
      <c r="N15" s="6"/>
    </row>
    <row r="16" spans="1:14" ht="15" thickBot="1" x14ac:dyDescent="0.35">
      <c r="A16" s="6"/>
      <c r="B16" s="13"/>
      <c r="C16" s="24"/>
      <c r="D16" s="24"/>
      <c r="E16" s="19">
        <f t="shared" si="0"/>
        <v>0</v>
      </c>
      <c r="F16" s="6"/>
      <c r="G16" s="230" t="s">
        <v>107</v>
      </c>
      <c r="H16" s="231"/>
      <c r="I16" s="232"/>
      <c r="J16" s="23">
        <v>8.7599999999999997E-2</v>
      </c>
      <c r="K16" s="25" t="s">
        <v>108</v>
      </c>
      <c r="L16" s="6"/>
      <c r="M16" s="6"/>
      <c r="N16" s="6"/>
    </row>
    <row r="17" spans="1:14" ht="15" thickBot="1" x14ac:dyDescent="0.35">
      <c r="A17" s="6"/>
      <c r="B17" s="13"/>
      <c r="C17" s="24"/>
      <c r="D17" s="24"/>
      <c r="E17" s="19">
        <f t="shared" si="0"/>
        <v>0</v>
      </c>
      <c r="F17" s="6"/>
      <c r="G17" s="230" t="s">
        <v>109</v>
      </c>
      <c r="H17" s="231"/>
      <c r="I17" s="232"/>
      <c r="J17" s="23">
        <v>0.16619999999999999</v>
      </c>
      <c r="K17" s="26">
        <f>(I18+I19+I20)/(1-I18+I19+I20)</f>
        <v>0.1284362325371789</v>
      </c>
      <c r="L17" s="6"/>
      <c r="M17" s="6"/>
      <c r="N17" s="6"/>
    </row>
    <row r="18" spans="1:14" ht="15" thickBot="1" x14ac:dyDescent="0.35">
      <c r="A18" s="6"/>
      <c r="B18" s="13"/>
      <c r="C18" s="27"/>
      <c r="D18" s="24"/>
      <c r="E18" s="19">
        <f t="shared" si="0"/>
        <v>0</v>
      </c>
      <c r="F18" s="6"/>
      <c r="G18" s="15"/>
      <c r="H18" s="13" t="s">
        <v>110</v>
      </c>
      <c r="I18" s="23">
        <v>1.6500000000000001E-2</v>
      </c>
      <c r="J18" s="11"/>
      <c r="K18" s="6"/>
      <c r="L18" s="6"/>
      <c r="M18" s="6"/>
      <c r="N18" s="6"/>
    </row>
    <row r="19" spans="1:14" ht="15" thickBot="1" x14ac:dyDescent="0.35">
      <c r="A19" s="6"/>
      <c r="B19" s="13"/>
      <c r="C19" s="24"/>
      <c r="D19" s="24"/>
      <c r="E19" s="19">
        <f t="shared" si="0"/>
        <v>0</v>
      </c>
      <c r="F19" s="6"/>
      <c r="G19" s="13"/>
      <c r="H19" s="13" t="s">
        <v>111</v>
      </c>
      <c r="I19" s="23">
        <v>7.5999999999999998E-2</v>
      </c>
      <c r="J19" s="11"/>
      <c r="K19" s="6"/>
      <c r="L19" s="6"/>
      <c r="M19" s="6"/>
      <c r="N19" s="6"/>
    </row>
    <row r="20" spans="1:14" ht="15" thickBot="1" x14ac:dyDescent="0.35">
      <c r="A20" s="6"/>
      <c r="B20" s="13"/>
      <c r="C20" s="24"/>
      <c r="D20" s="24"/>
      <c r="E20" s="19">
        <f t="shared" si="0"/>
        <v>0</v>
      </c>
      <c r="F20" s="6"/>
      <c r="G20" s="28"/>
      <c r="H20" s="28" t="s">
        <v>112</v>
      </c>
      <c r="I20" s="23">
        <v>0.05</v>
      </c>
      <c r="J20" s="29"/>
      <c r="K20" s="6"/>
      <c r="L20" s="6"/>
      <c r="M20" s="6"/>
      <c r="N20" s="6"/>
    </row>
    <row r="21" spans="1:14" ht="15" thickBot="1" x14ac:dyDescent="0.35">
      <c r="A21" s="6"/>
      <c r="B21" s="9" t="s">
        <v>113</v>
      </c>
      <c r="C21" s="218" t="s">
        <v>114</v>
      </c>
      <c r="D21" s="219"/>
      <c r="E21" s="30">
        <f>SUM(E10:E20)</f>
        <v>232641.6</v>
      </c>
      <c r="F21" s="6"/>
      <c r="G21" s="220" t="s">
        <v>115</v>
      </c>
      <c r="H21" s="220"/>
      <c r="I21" s="32" t="s">
        <v>116</v>
      </c>
      <c r="J21" s="33">
        <f>ROUNDDOWN((1+J14+J15)*(1+J16)*(1+J17),2)</f>
        <v>2.52</v>
      </c>
      <c r="K21" s="6"/>
      <c r="L21" s="6"/>
      <c r="M21" s="6"/>
      <c r="N21" s="6"/>
    </row>
    <row r="22" spans="1:14" ht="15" thickBot="1" x14ac:dyDescent="0.35">
      <c r="A22" s="6"/>
      <c r="B22" s="9" t="s">
        <v>117</v>
      </c>
      <c r="C22" s="230"/>
      <c r="D22" s="231"/>
      <c r="E22" s="34"/>
      <c r="F22" s="6"/>
      <c r="G22" s="220" t="s">
        <v>118</v>
      </c>
      <c r="H22" s="220"/>
      <c r="I22" s="32" t="s">
        <v>119</v>
      </c>
      <c r="J22" s="33">
        <f>ROUND((1+J16)*(1+J17),2)</f>
        <v>1.27</v>
      </c>
      <c r="K22" s="6"/>
      <c r="L22" s="6"/>
      <c r="M22" s="6"/>
      <c r="N22" s="6"/>
    </row>
    <row r="23" spans="1:14" ht="15" thickBot="1" x14ac:dyDescent="0.35">
      <c r="A23" s="6"/>
      <c r="B23" s="13" t="s">
        <v>96</v>
      </c>
      <c r="C23" s="226" t="s">
        <v>120</v>
      </c>
      <c r="D23" s="226" t="s">
        <v>121</v>
      </c>
      <c r="E23" s="226" t="s">
        <v>93</v>
      </c>
      <c r="F23" s="6"/>
      <c r="G23" s="6"/>
      <c r="H23" s="6"/>
      <c r="I23" s="6"/>
      <c r="J23" s="6"/>
      <c r="K23" s="6"/>
      <c r="L23" s="6"/>
      <c r="M23" s="6"/>
      <c r="N23" s="6"/>
    </row>
    <row r="24" spans="1:14" ht="15" thickBot="1" x14ac:dyDescent="0.35">
      <c r="A24" s="6"/>
      <c r="B24" s="22" t="s">
        <v>122</v>
      </c>
      <c r="C24" s="226"/>
      <c r="D24" s="226"/>
      <c r="E24" s="226"/>
      <c r="F24" s="6"/>
      <c r="G24" s="8" t="s">
        <v>123</v>
      </c>
      <c r="H24" s="6"/>
      <c r="I24" s="6"/>
      <c r="J24" s="6"/>
      <c r="K24" s="6"/>
      <c r="L24" s="6"/>
      <c r="M24" s="6"/>
      <c r="N24" s="6"/>
    </row>
    <row r="25" spans="1:14" ht="15" thickBot="1" x14ac:dyDescent="0.35">
      <c r="A25" s="6"/>
      <c r="B25" s="34" t="s">
        <v>124</v>
      </c>
      <c r="C25" s="35">
        <v>30</v>
      </c>
      <c r="D25" s="36">
        <v>150</v>
      </c>
      <c r="E25" s="19">
        <f>C25*D25</f>
        <v>4500</v>
      </c>
      <c r="F25" s="6"/>
      <c r="G25" s="8" t="s">
        <v>125</v>
      </c>
      <c r="H25" s="6"/>
      <c r="I25" s="6"/>
      <c r="J25" s="6"/>
      <c r="K25" s="6"/>
      <c r="L25" s="6"/>
      <c r="M25" s="6"/>
      <c r="N25" s="6"/>
    </row>
    <row r="26" spans="1:14" ht="15" thickBot="1" x14ac:dyDescent="0.35">
      <c r="A26" s="6"/>
      <c r="B26" s="34" t="s">
        <v>603</v>
      </c>
      <c r="C26" s="35">
        <v>300</v>
      </c>
      <c r="D26" s="36">
        <v>5</v>
      </c>
      <c r="E26" s="19">
        <f>C26*D26</f>
        <v>1500</v>
      </c>
      <c r="F26" s="6"/>
      <c r="G26" s="37" t="s">
        <v>127</v>
      </c>
      <c r="H26" s="38"/>
      <c r="I26" s="38"/>
      <c r="J26" s="39"/>
      <c r="K26" s="40"/>
      <c r="L26" s="6"/>
      <c r="M26" s="6"/>
      <c r="N26" s="6"/>
    </row>
    <row r="27" spans="1:14" ht="15" thickBot="1" x14ac:dyDescent="0.35">
      <c r="A27" s="6"/>
      <c r="B27" s="34"/>
      <c r="C27" s="35"/>
      <c r="D27" s="36"/>
      <c r="E27" s="19">
        <f>C27*D27</f>
        <v>0</v>
      </c>
      <c r="F27" s="6"/>
      <c r="G27" s="34" t="s">
        <v>129</v>
      </c>
      <c r="H27" s="38" t="s">
        <v>130</v>
      </c>
      <c r="I27" s="35"/>
      <c r="J27" s="39">
        <v>3366.25</v>
      </c>
      <c r="K27" s="41">
        <f>I27*J27</f>
        <v>0</v>
      </c>
      <c r="L27" s="42" t="s">
        <v>131</v>
      </c>
      <c r="M27" s="6"/>
      <c r="N27" s="6"/>
    </row>
    <row r="28" spans="1:14" ht="15" thickBot="1" x14ac:dyDescent="0.35">
      <c r="A28" s="6"/>
      <c r="B28" s="34"/>
      <c r="C28" s="35"/>
      <c r="D28" s="36"/>
      <c r="E28" s="19">
        <f t="shared" ref="E28:E37" si="1">C28*D28</f>
        <v>0</v>
      </c>
      <c r="F28" s="6"/>
      <c r="G28" s="34" t="s">
        <v>133</v>
      </c>
      <c r="H28" s="38" t="s">
        <v>130</v>
      </c>
      <c r="I28" s="35"/>
      <c r="J28" s="39">
        <v>3561.89</v>
      </c>
      <c r="K28" s="41">
        <f>I28*J28</f>
        <v>0</v>
      </c>
      <c r="L28" s="42" t="s">
        <v>131</v>
      </c>
      <c r="M28" s="6"/>
      <c r="N28" s="6"/>
    </row>
    <row r="29" spans="1:14" ht="15" thickBot="1" x14ac:dyDescent="0.35">
      <c r="A29" s="6"/>
      <c r="B29" s="31"/>
      <c r="C29" s="43"/>
      <c r="D29" s="44"/>
      <c r="E29" s="19">
        <f t="shared" si="1"/>
        <v>0</v>
      </c>
      <c r="F29" s="6"/>
      <c r="G29" s="34" t="s">
        <v>134</v>
      </c>
      <c r="H29" s="38" t="s">
        <v>130</v>
      </c>
      <c r="I29" s="35"/>
      <c r="J29" s="39">
        <v>5032.54</v>
      </c>
      <c r="K29" s="41">
        <f>I29*J29</f>
        <v>0</v>
      </c>
      <c r="L29" s="42" t="s">
        <v>131</v>
      </c>
      <c r="M29" s="6"/>
      <c r="N29" s="6"/>
    </row>
    <row r="30" spans="1:14" ht="15" thickBot="1" x14ac:dyDescent="0.35">
      <c r="A30" s="6"/>
      <c r="B30" s="31"/>
      <c r="C30" s="43"/>
      <c r="D30" s="44"/>
      <c r="E30" s="19">
        <f t="shared" si="1"/>
        <v>0</v>
      </c>
      <c r="F30" s="6"/>
      <c r="G30" s="34" t="s">
        <v>135</v>
      </c>
      <c r="H30" s="38" t="s">
        <v>130</v>
      </c>
      <c r="I30" s="35"/>
      <c r="J30" s="39">
        <v>6600.51</v>
      </c>
      <c r="K30" s="41">
        <f>I30*J30</f>
        <v>0</v>
      </c>
      <c r="L30" s="42" t="s">
        <v>131</v>
      </c>
      <c r="M30" s="6"/>
      <c r="N30" s="6"/>
    </row>
    <row r="31" spans="1:14" ht="15" thickBot="1" x14ac:dyDescent="0.35">
      <c r="A31" s="6"/>
      <c r="B31" s="31"/>
      <c r="C31" s="43"/>
      <c r="D31" s="44"/>
      <c r="E31" s="19">
        <f t="shared" si="1"/>
        <v>0</v>
      </c>
      <c r="F31" s="6"/>
      <c r="G31" s="34" t="s">
        <v>136</v>
      </c>
      <c r="H31" s="38" t="s">
        <v>130</v>
      </c>
      <c r="I31" s="35"/>
      <c r="J31" s="39">
        <v>11311.06</v>
      </c>
      <c r="K31" s="41">
        <f>I31*J31</f>
        <v>0</v>
      </c>
      <c r="L31" s="42" t="s">
        <v>131</v>
      </c>
      <c r="M31" s="6"/>
      <c r="N31" s="6"/>
    </row>
    <row r="32" spans="1:14" ht="15" thickBot="1" x14ac:dyDescent="0.35">
      <c r="A32" s="6"/>
      <c r="B32" s="31"/>
      <c r="C32" s="43"/>
      <c r="D32" s="44"/>
      <c r="E32" s="19">
        <f t="shared" si="1"/>
        <v>0</v>
      </c>
      <c r="F32" s="6"/>
      <c r="G32" s="34"/>
      <c r="H32" s="38"/>
      <c r="I32" s="35"/>
      <c r="J32" s="39"/>
      <c r="K32" s="41"/>
      <c r="L32" s="45"/>
      <c r="M32" s="6"/>
      <c r="N32" s="6"/>
    </row>
    <row r="33" spans="1:14" ht="15" thickBot="1" x14ac:dyDescent="0.35">
      <c r="A33" s="6"/>
      <c r="B33" s="31"/>
      <c r="C33" s="43"/>
      <c r="D33" s="44"/>
      <c r="E33" s="19">
        <f t="shared" si="1"/>
        <v>0</v>
      </c>
      <c r="F33" s="6"/>
      <c r="G33" s="37" t="s">
        <v>137</v>
      </c>
      <c r="H33" s="38"/>
      <c r="I33" s="35"/>
      <c r="J33" s="39"/>
      <c r="K33" s="41"/>
      <c r="L33" s="45"/>
      <c r="M33" s="6"/>
      <c r="N33" s="6"/>
    </row>
    <row r="34" spans="1:14" ht="15" thickBot="1" x14ac:dyDescent="0.35">
      <c r="A34" s="6"/>
      <c r="B34" s="31"/>
      <c r="C34" s="43"/>
      <c r="D34" s="44"/>
      <c r="E34" s="19">
        <f t="shared" si="1"/>
        <v>0</v>
      </c>
      <c r="F34" s="6"/>
      <c r="G34" s="34" t="s">
        <v>124</v>
      </c>
      <c r="H34" s="38" t="s">
        <v>138</v>
      </c>
      <c r="I34" s="35"/>
      <c r="J34" s="39">
        <v>150</v>
      </c>
      <c r="K34" s="41">
        <f>I34*J34</f>
        <v>0</v>
      </c>
      <c r="L34" s="45" t="s">
        <v>139</v>
      </c>
      <c r="M34" s="6"/>
      <c r="N34" s="6"/>
    </row>
    <row r="35" spans="1:14" ht="15" thickBot="1" x14ac:dyDescent="0.35">
      <c r="A35" s="6"/>
      <c r="B35" s="31"/>
      <c r="C35" s="43"/>
      <c r="D35" s="44"/>
      <c r="E35" s="19">
        <f t="shared" si="1"/>
        <v>0</v>
      </c>
      <c r="F35" s="6"/>
      <c r="G35" s="34" t="s">
        <v>132</v>
      </c>
      <c r="H35" s="38" t="s">
        <v>140</v>
      </c>
      <c r="I35" s="35"/>
      <c r="J35" s="39">
        <v>5</v>
      </c>
      <c r="K35" s="41">
        <f t="shared" ref="K35:K38" si="2">I35*J35</f>
        <v>0</v>
      </c>
      <c r="L35" s="45" t="s">
        <v>139</v>
      </c>
      <c r="M35" s="6"/>
      <c r="N35" s="6"/>
    </row>
    <row r="36" spans="1:14" ht="15" thickBot="1" x14ac:dyDescent="0.35">
      <c r="A36" s="6"/>
      <c r="B36" s="31"/>
      <c r="C36" s="43"/>
      <c r="D36" s="44"/>
      <c r="E36" s="19">
        <f t="shared" si="1"/>
        <v>0</v>
      </c>
      <c r="F36" s="6"/>
      <c r="G36" s="34" t="s">
        <v>141</v>
      </c>
      <c r="H36" s="38" t="s">
        <v>142</v>
      </c>
      <c r="I36" s="35"/>
      <c r="J36" s="39">
        <v>800</v>
      </c>
      <c r="K36" s="41">
        <f t="shared" si="2"/>
        <v>0</v>
      </c>
      <c r="L36" s="45" t="s">
        <v>139</v>
      </c>
      <c r="M36" s="6"/>
      <c r="N36" s="6"/>
    </row>
    <row r="37" spans="1:14" ht="15" thickBot="1" x14ac:dyDescent="0.35">
      <c r="A37" s="6"/>
      <c r="B37" s="31"/>
      <c r="C37" s="43"/>
      <c r="D37" s="44"/>
      <c r="E37" s="19">
        <f t="shared" si="1"/>
        <v>0</v>
      </c>
      <c r="F37" s="6"/>
      <c r="G37" s="34" t="s">
        <v>143</v>
      </c>
      <c r="H37" s="38" t="s">
        <v>142</v>
      </c>
      <c r="I37" s="35"/>
      <c r="J37" s="39">
        <v>1125</v>
      </c>
      <c r="K37" s="41">
        <f t="shared" si="2"/>
        <v>0</v>
      </c>
      <c r="L37" s="45" t="s">
        <v>139</v>
      </c>
      <c r="M37" s="6"/>
      <c r="N37" s="6"/>
    </row>
    <row r="38" spans="1:14" ht="15" thickBot="1" x14ac:dyDescent="0.35">
      <c r="A38" s="6"/>
      <c r="B38" s="46" t="s">
        <v>144</v>
      </c>
      <c r="C38" s="234" t="s">
        <v>145</v>
      </c>
      <c r="D38" s="234"/>
      <c r="E38" s="30">
        <f>SUM(E25:E37)</f>
        <v>6000</v>
      </c>
      <c r="F38" s="6"/>
      <c r="G38" s="34" t="s">
        <v>146</v>
      </c>
      <c r="H38" s="38" t="s">
        <v>142</v>
      </c>
      <c r="I38" s="35"/>
      <c r="J38" s="39">
        <v>1750</v>
      </c>
      <c r="K38" s="41">
        <f t="shared" si="2"/>
        <v>0</v>
      </c>
      <c r="L38" s="45" t="s">
        <v>139</v>
      </c>
      <c r="M38" s="6"/>
      <c r="N38" s="6"/>
    </row>
    <row r="39" spans="1:14" ht="27" thickBot="1" x14ac:dyDescent="0.35">
      <c r="A39" s="6"/>
      <c r="B39" s="22" t="s">
        <v>147</v>
      </c>
      <c r="C39" s="11" t="s">
        <v>120</v>
      </c>
      <c r="D39" s="11" t="s">
        <v>121</v>
      </c>
      <c r="E39" s="47" t="s">
        <v>93</v>
      </c>
      <c r="F39" s="6"/>
      <c r="G39" s="34"/>
      <c r="H39" s="38"/>
      <c r="I39" s="38"/>
      <c r="J39" s="39"/>
      <c r="K39" s="39"/>
      <c r="L39" s="45"/>
      <c r="M39" s="6"/>
      <c r="N39" s="6"/>
    </row>
    <row r="40" spans="1:14" ht="15" thickBot="1" x14ac:dyDescent="0.35">
      <c r="A40" s="6"/>
      <c r="B40" s="34"/>
      <c r="C40" s="35"/>
      <c r="D40" s="36"/>
      <c r="E40" s="19">
        <f>C40*D40</f>
        <v>0</v>
      </c>
      <c r="F40" s="6"/>
      <c r="G40" s="37" t="s">
        <v>149</v>
      </c>
      <c r="H40" s="38"/>
      <c r="I40" s="38"/>
      <c r="J40" s="39"/>
      <c r="K40" s="40"/>
      <c r="L40" s="6"/>
      <c r="M40" s="6"/>
      <c r="N40" s="6"/>
    </row>
    <row r="41" spans="1:14" ht="15" thickBot="1" x14ac:dyDescent="0.35">
      <c r="A41" s="6"/>
      <c r="B41" s="34"/>
      <c r="C41" s="35"/>
      <c r="D41" s="36"/>
      <c r="E41" s="19">
        <f>C41*D41</f>
        <v>0</v>
      </c>
      <c r="F41" s="6"/>
      <c r="G41" s="34" t="s">
        <v>151</v>
      </c>
      <c r="H41" s="38" t="s">
        <v>130</v>
      </c>
      <c r="I41" s="48"/>
      <c r="J41" s="39">
        <v>1860.06</v>
      </c>
      <c r="K41" s="41">
        <f t="shared" ref="K41:K42" si="3">I41*J41</f>
        <v>0</v>
      </c>
      <c r="L41" s="6" t="s">
        <v>131</v>
      </c>
      <c r="M41" s="6"/>
      <c r="N41" s="6"/>
    </row>
    <row r="42" spans="1:14" ht="15" thickBot="1" x14ac:dyDescent="0.35">
      <c r="A42" s="6"/>
      <c r="B42" s="34"/>
      <c r="C42" s="48"/>
      <c r="D42" s="36"/>
      <c r="E42" s="19">
        <f t="shared" ref="E42:E53" si="4">C42*D42</f>
        <v>0</v>
      </c>
      <c r="F42" s="6"/>
      <c r="G42" s="34" t="s">
        <v>152</v>
      </c>
      <c r="H42" s="38" t="s">
        <v>130</v>
      </c>
      <c r="I42" s="48"/>
      <c r="J42" s="39">
        <v>326.83999999999997</v>
      </c>
      <c r="K42" s="41">
        <f t="shared" si="3"/>
        <v>0</v>
      </c>
      <c r="L42" s="6" t="s">
        <v>131</v>
      </c>
      <c r="M42" s="6"/>
      <c r="N42" s="6"/>
    </row>
    <row r="43" spans="1:14" ht="15" thickBot="1" x14ac:dyDescent="0.35">
      <c r="A43" s="6"/>
      <c r="B43" s="34"/>
      <c r="C43" s="48"/>
      <c r="D43" s="36"/>
      <c r="E43" s="19">
        <f t="shared" si="4"/>
        <v>0</v>
      </c>
      <c r="F43" s="6"/>
      <c r="G43" s="34" t="s">
        <v>153</v>
      </c>
      <c r="H43" s="38" t="s">
        <v>142</v>
      </c>
      <c r="I43" s="48"/>
      <c r="J43" s="39">
        <v>2500</v>
      </c>
      <c r="K43" s="41">
        <f>I43*J43</f>
        <v>0</v>
      </c>
      <c r="L43" s="6" t="s">
        <v>139</v>
      </c>
      <c r="M43" s="6"/>
      <c r="N43" s="6"/>
    </row>
    <row r="44" spans="1:14" ht="15" thickBot="1" x14ac:dyDescent="0.35">
      <c r="A44" s="6"/>
      <c r="B44" s="34"/>
      <c r="C44" s="48"/>
      <c r="D44" s="36"/>
      <c r="E44" s="19">
        <f t="shared" si="4"/>
        <v>0</v>
      </c>
      <c r="F44" s="6"/>
      <c r="G44" s="34" t="s">
        <v>154</v>
      </c>
      <c r="H44" s="38" t="s">
        <v>142</v>
      </c>
      <c r="I44" s="48"/>
      <c r="J44" s="39">
        <v>500</v>
      </c>
      <c r="K44" s="41">
        <f>I44*J44</f>
        <v>0</v>
      </c>
      <c r="L44" s="6" t="s">
        <v>139</v>
      </c>
      <c r="M44" s="6"/>
      <c r="N44" s="6"/>
    </row>
    <row r="45" spans="1:14" ht="15" thickBot="1" x14ac:dyDescent="0.35">
      <c r="A45" s="6"/>
      <c r="B45" s="34"/>
      <c r="C45" s="48"/>
      <c r="D45" s="36"/>
      <c r="E45" s="19">
        <f t="shared" si="4"/>
        <v>0</v>
      </c>
      <c r="F45" s="6"/>
      <c r="G45" s="34" t="s">
        <v>156</v>
      </c>
      <c r="H45" s="38" t="s">
        <v>142</v>
      </c>
      <c r="I45" s="48"/>
      <c r="J45" s="39">
        <v>2500</v>
      </c>
      <c r="K45" s="41">
        <f>I45*J45</f>
        <v>0</v>
      </c>
      <c r="L45" s="6" t="s">
        <v>139</v>
      </c>
      <c r="M45" s="6"/>
      <c r="N45" s="6"/>
    </row>
    <row r="46" spans="1:14" ht="15" thickBot="1" x14ac:dyDescent="0.35">
      <c r="A46" s="6"/>
      <c r="B46" s="31"/>
      <c r="C46" s="44"/>
      <c r="D46" s="44"/>
      <c r="E46" s="19">
        <f t="shared" si="4"/>
        <v>0</v>
      </c>
      <c r="F46" s="6"/>
      <c r="G46" s="34" t="s">
        <v>155</v>
      </c>
      <c r="H46" s="38" t="s">
        <v>142</v>
      </c>
      <c r="I46" s="48"/>
      <c r="J46" s="39">
        <v>700</v>
      </c>
      <c r="K46" s="41">
        <f>I46*J46</f>
        <v>0</v>
      </c>
      <c r="L46" s="6" t="s">
        <v>139</v>
      </c>
      <c r="M46" s="6"/>
      <c r="N46" s="6"/>
    </row>
    <row r="47" spans="1:14" ht="15" thickBot="1" x14ac:dyDescent="0.35">
      <c r="A47" s="6"/>
      <c r="B47" s="31"/>
      <c r="C47" s="44"/>
      <c r="D47" s="44"/>
      <c r="E47" s="19">
        <f t="shared" si="4"/>
        <v>0</v>
      </c>
      <c r="F47" s="6"/>
      <c r="G47" s="6"/>
      <c r="H47" s="6"/>
      <c r="I47" s="6"/>
      <c r="J47" s="6"/>
      <c r="K47" s="6"/>
      <c r="L47" s="6"/>
      <c r="M47" s="6"/>
      <c r="N47" s="6"/>
    </row>
    <row r="48" spans="1:14" ht="15" thickBot="1" x14ac:dyDescent="0.35">
      <c r="A48" s="6"/>
      <c r="B48" s="31"/>
      <c r="C48" s="44"/>
      <c r="D48" s="44"/>
      <c r="E48" s="19">
        <f t="shared" si="4"/>
        <v>0</v>
      </c>
      <c r="F48" s="6"/>
      <c r="G48" s="37" t="s">
        <v>157</v>
      </c>
      <c r="H48" s="38"/>
      <c r="I48" s="38"/>
      <c r="J48" s="39"/>
      <c r="K48" s="40"/>
      <c r="L48" s="6"/>
      <c r="M48" s="6"/>
      <c r="N48" s="6"/>
    </row>
    <row r="49" spans="1:14" ht="15" thickBot="1" x14ac:dyDescent="0.35">
      <c r="A49" s="6"/>
      <c r="B49" s="31"/>
      <c r="C49" s="44"/>
      <c r="D49" s="44"/>
      <c r="E49" s="19">
        <f t="shared" si="4"/>
        <v>0</v>
      </c>
      <c r="F49" s="6"/>
      <c r="G49" s="34" t="s">
        <v>158</v>
      </c>
      <c r="H49" s="38" t="s">
        <v>130</v>
      </c>
      <c r="I49" s="35"/>
      <c r="J49" s="39">
        <v>1889.72</v>
      </c>
      <c r="K49" s="41">
        <f>I49*J49</f>
        <v>0</v>
      </c>
      <c r="L49" s="6" t="s">
        <v>131</v>
      </c>
      <c r="M49" s="6"/>
      <c r="N49" s="6"/>
    </row>
    <row r="50" spans="1:14" ht="15" thickBot="1" x14ac:dyDescent="0.35">
      <c r="A50" s="6"/>
      <c r="B50" s="31"/>
      <c r="C50" s="44"/>
      <c r="D50" s="44"/>
      <c r="E50" s="19">
        <f t="shared" si="4"/>
        <v>0</v>
      </c>
      <c r="F50" s="6"/>
      <c r="G50" s="34" t="s">
        <v>159</v>
      </c>
      <c r="H50" s="38" t="s">
        <v>130</v>
      </c>
      <c r="I50" s="35"/>
      <c r="J50" s="39">
        <v>2167.38</v>
      </c>
      <c r="K50" s="41">
        <f>I50*J50</f>
        <v>0</v>
      </c>
      <c r="L50" s="6" t="s">
        <v>131</v>
      </c>
      <c r="M50" s="6"/>
      <c r="N50" s="6"/>
    </row>
    <row r="51" spans="1:14" ht="15" thickBot="1" x14ac:dyDescent="0.35">
      <c r="A51" s="6"/>
      <c r="B51" s="31"/>
      <c r="C51" s="44"/>
      <c r="D51" s="44"/>
      <c r="E51" s="19">
        <f t="shared" si="4"/>
        <v>0</v>
      </c>
      <c r="F51" s="6"/>
      <c r="G51" s="34" t="s">
        <v>160</v>
      </c>
      <c r="H51" s="38" t="s">
        <v>130</v>
      </c>
      <c r="I51" s="35"/>
      <c r="J51" s="39">
        <v>1896.45</v>
      </c>
      <c r="K51" s="41">
        <f>I51*J51</f>
        <v>0</v>
      </c>
      <c r="L51" s="6" t="s">
        <v>131</v>
      </c>
      <c r="M51" s="6"/>
      <c r="N51" s="6"/>
    </row>
    <row r="52" spans="1:14" ht="15" thickBot="1" x14ac:dyDescent="0.35">
      <c r="A52" s="6"/>
      <c r="B52" s="31"/>
      <c r="C52" s="44"/>
      <c r="D52" s="44"/>
      <c r="E52" s="19">
        <f t="shared" si="4"/>
        <v>0</v>
      </c>
      <c r="F52" s="6"/>
      <c r="G52" s="6"/>
      <c r="H52" s="6"/>
      <c r="I52" s="6"/>
      <c r="J52" s="6"/>
      <c r="K52" s="6"/>
      <c r="L52" s="6"/>
      <c r="M52" s="6"/>
      <c r="N52" s="6"/>
    </row>
    <row r="53" spans="1:14" ht="15" thickBot="1" x14ac:dyDescent="0.35">
      <c r="A53" s="6"/>
      <c r="B53" s="31"/>
      <c r="C53" s="44"/>
      <c r="D53" s="44"/>
      <c r="E53" s="19">
        <f t="shared" si="4"/>
        <v>0</v>
      </c>
      <c r="F53" s="6"/>
      <c r="G53" s="37" t="s">
        <v>161</v>
      </c>
      <c r="H53" s="38"/>
      <c r="I53" s="38"/>
      <c r="J53" s="39"/>
      <c r="K53" s="40"/>
      <c r="L53" s="6"/>
      <c r="M53" s="6"/>
      <c r="N53" s="6"/>
    </row>
    <row r="54" spans="1:14" ht="15" thickBot="1" x14ac:dyDescent="0.35">
      <c r="A54" s="6"/>
      <c r="B54" s="49" t="s">
        <v>162</v>
      </c>
      <c r="C54" s="236" t="s">
        <v>163</v>
      </c>
      <c r="D54" s="237"/>
      <c r="E54" s="50">
        <f>SUM(E40:E53)</f>
        <v>0</v>
      </c>
      <c r="F54" s="6"/>
      <c r="G54" s="34" t="s">
        <v>164</v>
      </c>
      <c r="H54" s="38" t="s">
        <v>130</v>
      </c>
      <c r="I54" s="35"/>
      <c r="J54" s="39">
        <v>812.73</v>
      </c>
      <c r="K54" s="41">
        <f>I54*J54</f>
        <v>0</v>
      </c>
      <c r="L54" s="6" t="s">
        <v>131</v>
      </c>
      <c r="M54" s="6"/>
      <c r="N54" s="6"/>
    </row>
    <row r="55" spans="1:14" x14ac:dyDescent="0.3">
      <c r="A55" s="6"/>
      <c r="B55" s="238" t="s">
        <v>165</v>
      </c>
      <c r="C55" s="239"/>
      <c r="D55" s="51" t="s">
        <v>166</v>
      </c>
      <c r="E55" s="52">
        <f>E38+E54</f>
        <v>6000</v>
      </c>
      <c r="F55" s="6"/>
      <c r="G55" s="34" t="s">
        <v>167</v>
      </c>
      <c r="H55" s="38" t="s">
        <v>130</v>
      </c>
      <c r="I55" s="35"/>
      <c r="J55" s="39">
        <v>677.3</v>
      </c>
      <c r="K55" s="41">
        <f>I55*J55</f>
        <v>0</v>
      </c>
      <c r="L55" s="6" t="s">
        <v>131</v>
      </c>
      <c r="M55" s="6"/>
      <c r="N55" s="6"/>
    </row>
    <row r="56" spans="1:14" x14ac:dyDescent="0.3">
      <c r="A56" s="6"/>
      <c r="B56" s="53" t="s">
        <v>168</v>
      </c>
      <c r="C56" s="34"/>
      <c r="D56" s="34"/>
      <c r="E56" s="34"/>
      <c r="F56" s="6"/>
      <c r="G56" s="34"/>
      <c r="H56" s="38"/>
      <c r="I56" s="38"/>
      <c r="J56" s="39"/>
      <c r="K56" s="39"/>
      <c r="L56" s="6"/>
      <c r="M56" s="6"/>
      <c r="N56" s="6"/>
    </row>
    <row r="57" spans="1:14" ht="15" thickBot="1" x14ac:dyDescent="0.35">
      <c r="A57" s="6"/>
      <c r="B57" s="240" t="s">
        <v>169</v>
      </c>
      <c r="C57" s="241"/>
      <c r="D57" s="54" t="s">
        <v>170</v>
      </c>
      <c r="E57" s="55">
        <f>J21*E21</f>
        <v>586256.83200000005</v>
      </c>
      <c r="F57" s="6"/>
      <c r="G57" s="37" t="s">
        <v>171</v>
      </c>
      <c r="H57" s="38"/>
      <c r="I57" s="38"/>
      <c r="J57" s="39"/>
      <c r="K57" s="40"/>
      <c r="L57" s="6"/>
      <c r="M57" s="6"/>
      <c r="N57" s="6"/>
    </row>
    <row r="58" spans="1:14" ht="15" thickBot="1" x14ac:dyDescent="0.35">
      <c r="A58" s="6"/>
      <c r="B58" s="230" t="s">
        <v>172</v>
      </c>
      <c r="C58" s="232"/>
      <c r="D58" s="56" t="s">
        <v>173</v>
      </c>
      <c r="E58" s="57">
        <f>E55*J22</f>
        <v>7620</v>
      </c>
      <c r="F58" s="6"/>
      <c r="G58" s="34" t="s">
        <v>126</v>
      </c>
      <c r="H58" s="38" t="s">
        <v>138</v>
      </c>
      <c r="I58" s="35"/>
      <c r="J58" s="39">
        <v>150</v>
      </c>
      <c r="K58" s="41">
        <f>I58*J58</f>
        <v>0</v>
      </c>
      <c r="L58" s="6" t="s">
        <v>139</v>
      </c>
      <c r="M58" s="6"/>
      <c r="N58" s="6"/>
    </row>
    <row r="59" spans="1:14" ht="15" thickBot="1" x14ac:dyDescent="0.35">
      <c r="A59" s="6"/>
      <c r="B59" s="13" t="s">
        <v>174</v>
      </c>
      <c r="C59" s="15"/>
      <c r="D59" s="58"/>
      <c r="E59" s="30">
        <f>E58+E57</f>
        <v>593876.83200000005</v>
      </c>
      <c r="F59" s="6"/>
      <c r="G59" s="34" t="s">
        <v>128</v>
      </c>
      <c r="H59" s="38" t="s">
        <v>138</v>
      </c>
      <c r="I59" s="35"/>
      <c r="J59" s="39">
        <v>60</v>
      </c>
      <c r="K59" s="41">
        <f>I59*J59</f>
        <v>0</v>
      </c>
      <c r="L59" s="6" t="s">
        <v>139</v>
      </c>
      <c r="M59" s="6"/>
      <c r="N59" s="6"/>
    </row>
    <row r="60" spans="1:14" x14ac:dyDescent="0.3">
      <c r="A60" s="6"/>
      <c r="B60" s="6"/>
      <c r="C60" s="6"/>
      <c r="D60" s="6"/>
      <c r="E60" s="6"/>
      <c r="F60" s="6"/>
      <c r="G60" s="6"/>
      <c r="H60" s="6"/>
      <c r="I60" s="6"/>
      <c r="J60" s="6"/>
      <c r="K60" s="6"/>
      <c r="L60" s="6"/>
      <c r="M60" s="6"/>
      <c r="N60" s="6"/>
    </row>
    <row r="61" spans="1:14" x14ac:dyDescent="0.3">
      <c r="A61" s="6"/>
      <c r="B61" s="233" t="s">
        <v>175</v>
      </c>
      <c r="C61" s="233"/>
      <c r="D61" s="233"/>
      <c r="E61" s="233"/>
      <c r="F61" s="59"/>
      <c r="G61" s="60" t="s">
        <v>176</v>
      </c>
      <c r="H61" s="6"/>
      <c r="I61" s="6"/>
      <c r="J61" s="6"/>
      <c r="K61" s="6"/>
      <c r="L61" s="6"/>
      <c r="M61" s="6"/>
      <c r="N61" s="6"/>
    </row>
    <row r="62" spans="1:14" x14ac:dyDescent="0.3">
      <c r="A62" s="6"/>
      <c r="B62" s="233"/>
      <c r="C62" s="233"/>
      <c r="D62" s="233"/>
      <c r="E62" s="233"/>
      <c r="F62" s="61"/>
      <c r="G62" s="62" t="s">
        <v>177</v>
      </c>
      <c r="H62" s="63"/>
      <c r="I62" s="64"/>
      <c r="J62" s="64"/>
      <c r="K62" s="6"/>
      <c r="L62" s="6"/>
      <c r="M62" s="6"/>
      <c r="N62" s="6"/>
    </row>
    <row r="63" spans="1:14" x14ac:dyDescent="0.3">
      <c r="A63" s="6"/>
      <c r="B63" s="233"/>
      <c r="C63" s="233"/>
      <c r="D63" s="233"/>
      <c r="E63" s="233"/>
      <c r="F63" s="61"/>
      <c r="G63" s="65" t="s">
        <v>178</v>
      </c>
      <c r="H63" s="66" t="s">
        <v>179</v>
      </c>
      <c r="I63" s="67" t="s">
        <v>180</v>
      </c>
      <c r="J63" s="67" t="s">
        <v>181</v>
      </c>
      <c r="K63" s="6"/>
      <c r="L63" s="6"/>
      <c r="M63" s="6"/>
      <c r="N63" s="6"/>
    </row>
    <row r="64" spans="1:14" x14ac:dyDescent="0.3">
      <c r="A64" s="6"/>
      <c r="B64" s="233"/>
      <c r="C64" s="233"/>
      <c r="D64" s="233"/>
      <c r="E64" s="233"/>
      <c r="F64" s="61"/>
      <c r="G64" s="68" t="s">
        <v>182</v>
      </c>
      <c r="H64" s="69">
        <v>508.38</v>
      </c>
      <c r="I64" s="69">
        <v>433.49</v>
      </c>
      <c r="J64" s="69">
        <v>381.14</v>
      </c>
      <c r="K64" s="6"/>
      <c r="L64" s="6"/>
      <c r="M64" s="6"/>
      <c r="N64" s="6"/>
    </row>
    <row r="65" spans="1:14" x14ac:dyDescent="0.3">
      <c r="A65" s="6"/>
      <c r="B65" s="233"/>
      <c r="C65" s="233"/>
      <c r="D65" s="233"/>
      <c r="E65" s="233"/>
      <c r="F65" s="61"/>
      <c r="G65" s="68" t="s">
        <v>183</v>
      </c>
      <c r="H65" s="69">
        <v>455</v>
      </c>
      <c r="I65" s="69">
        <v>387.86</v>
      </c>
      <c r="J65" s="69">
        <v>341.02</v>
      </c>
      <c r="K65" s="6"/>
      <c r="L65" s="6"/>
      <c r="M65" s="6"/>
      <c r="N65" s="6"/>
    </row>
    <row r="66" spans="1:14" x14ac:dyDescent="0.3">
      <c r="A66" s="6"/>
      <c r="B66" s="233"/>
      <c r="C66" s="233"/>
      <c r="D66" s="233"/>
      <c r="E66" s="233"/>
      <c r="F66" s="61"/>
      <c r="G66" s="68" t="s">
        <v>184</v>
      </c>
      <c r="H66" s="69">
        <v>401.61</v>
      </c>
      <c r="I66" s="69">
        <v>342.23</v>
      </c>
      <c r="J66" s="69">
        <v>300.89999999999998</v>
      </c>
      <c r="K66" s="6"/>
      <c r="L66" s="6"/>
      <c r="M66" s="6"/>
      <c r="N66" s="6"/>
    </row>
    <row r="67" spans="1:14" x14ac:dyDescent="0.3">
      <c r="A67" s="6"/>
      <c r="B67" s="233"/>
      <c r="C67" s="233"/>
      <c r="D67" s="233"/>
      <c r="E67" s="233"/>
      <c r="F67" s="61"/>
      <c r="G67" s="233" t="s">
        <v>185</v>
      </c>
      <c r="H67" s="233"/>
      <c r="I67" s="233"/>
      <c r="J67" s="233"/>
      <c r="K67" s="6"/>
      <c r="L67" s="6"/>
      <c r="M67" s="6"/>
      <c r="N67" s="6"/>
    </row>
    <row r="68" spans="1:14" x14ac:dyDescent="0.3">
      <c r="A68" s="6"/>
      <c r="B68" s="235" t="s">
        <v>186</v>
      </c>
      <c r="C68" s="235"/>
      <c r="D68" s="235"/>
      <c r="E68" s="235"/>
      <c r="F68" s="235"/>
      <c r="G68" s="6"/>
      <c r="H68" s="6"/>
      <c r="I68" s="6"/>
      <c r="J68" s="6"/>
      <c r="K68" s="6"/>
      <c r="L68" s="6"/>
      <c r="M68" s="6"/>
      <c r="N68" s="6"/>
    </row>
    <row r="69" spans="1:14" x14ac:dyDescent="0.3">
      <c r="A69" s="6"/>
      <c r="B69" s="235" t="s">
        <v>187</v>
      </c>
      <c r="C69" s="235"/>
      <c r="D69" s="235"/>
      <c r="E69" s="235"/>
      <c r="F69" s="235"/>
      <c r="G69" s="6"/>
      <c r="H69" s="6"/>
      <c r="I69" s="6"/>
      <c r="J69" s="6"/>
      <c r="K69" s="6"/>
      <c r="L69" s="6"/>
      <c r="M69" s="6"/>
      <c r="N69" s="6"/>
    </row>
    <row r="70" spans="1:14" x14ac:dyDescent="0.3">
      <c r="A70" s="6"/>
      <c r="B70" s="70" t="s">
        <v>188</v>
      </c>
      <c r="C70" s="71"/>
      <c r="D70" s="71"/>
      <c r="E70" s="71"/>
      <c r="F70" s="71"/>
      <c r="G70" s="6"/>
      <c r="H70" s="6"/>
      <c r="I70" s="6"/>
      <c r="J70" s="6"/>
      <c r="K70" s="6"/>
      <c r="L70" s="6"/>
      <c r="M70" s="6"/>
      <c r="N70" s="6"/>
    </row>
    <row r="71" spans="1:14" x14ac:dyDescent="0.3">
      <c r="A71" s="6"/>
      <c r="B71" s="70" t="s">
        <v>189</v>
      </c>
      <c r="C71" s="71"/>
      <c r="D71" s="71"/>
      <c r="E71" s="71"/>
      <c r="F71" s="71"/>
      <c r="G71" s="6"/>
      <c r="H71" s="6"/>
      <c r="I71" s="6"/>
      <c r="J71" s="6"/>
      <c r="K71" s="6"/>
      <c r="L71" s="6"/>
      <c r="M71" s="6"/>
      <c r="N71" s="6"/>
    </row>
    <row r="72" spans="1:14" x14ac:dyDescent="0.3">
      <c r="A72" s="6"/>
      <c r="B72" s="70" t="s">
        <v>190</v>
      </c>
      <c r="C72" s="71"/>
      <c r="D72" s="71"/>
      <c r="E72" s="71"/>
      <c r="F72" s="71"/>
      <c r="G72" s="6"/>
      <c r="H72" s="6"/>
      <c r="I72" s="6"/>
      <c r="J72" s="6"/>
      <c r="K72" s="6"/>
      <c r="L72" s="6"/>
      <c r="M72" s="6"/>
      <c r="N72" s="6"/>
    </row>
  </sheetData>
  <mergeCells count="27">
    <mergeCell ref="B68:F68"/>
    <mergeCell ref="B69:F69"/>
    <mergeCell ref="C54:D54"/>
    <mergeCell ref="B55:C55"/>
    <mergeCell ref="B57:C57"/>
    <mergeCell ref="B58:C58"/>
    <mergeCell ref="B61:E67"/>
    <mergeCell ref="G67:J67"/>
    <mergeCell ref="C22:D22"/>
    <mergeCell ref="G22:H22"/>
    <mergeCell ref="C23:C24"/>
    <mergeCell ref="D23:D24"/>
    <mergeCell ref="E23:E24"/>
    <mergeCell ref="C38:D38"/>
    <mergeCell ref="C21:D21"/>
    <mergeCell ref="G21:H21"/>
    <mergeCell ref="C4:E4"/>
    <mergeCell ref="B5:B6"/>
    <mergeCell ref="D5:D6"/>
    <mergeCell ref="C8:C9"/>
    <mergeCell ref="D8:D9"/>
    <mergeCell ref="E8:E9"/>
    <mergeCell ref="G13:I13"/>
    <mergeCell ref="G14:I14"/>
    <mergeCell ref="G15:I15"/>
    <mergeCell ref="G16:I16"/>
    <mergeCell ref="G17:I1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20</vt:i4>
      </vt:variant>
    </vt:vector>
  </HeadingPairs>
  <TitlesOfParts>
    <vt:vector size="20" baseType="lpstr">
      <vt:lpstr>Resumo</vt:lpstr>
      <vt:lpstr>Consulta</vt:lpstr>
      <vt:lpstr>Eixos</vt:lpstr>
      <vt:lpstr>Programas</vt:lpstr>
      <vt:lpstr>Ações</vt:lpstr>
      <vt:lpstr>Gestão</vt:lpstr>
      <vt:lpstr>Ação 2.1.1</vt:lpstr>
      <vt:lpstr>Ação 2.1.2</vt:lpstr>
      <vt:lpstr>Ação 2.1.3</vt:lpstr>
      <vt:lpstr>Ação 2.1.4</vt:lpstr>
      <vt:lpstr>Ação 3.1.1</vt:lpstr>
      <vt:lpstr>Ação 3.1.2</vt:lpstr>
      <vt:lpstr>Ação 3.1.3</vt:lpstr>
      <vt:lpstr>Ação 3.1.4</vt:lpstr>
      <vt:lpstr>Ação 3.2.2</vt:lpstr>
      <vt:lpstr>Ação 3.3.2</vt:lpstr>
      <vt:lpstr>Ação 3.3.3</vt:lpstr>
      <vt:lpstr>Ação 4.1.4</vt:lpstr>
      <vt:lpstr>Ação 4.2.3 </vt:lpstr>
      <vt:lpstr>Ação 4.2.4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Luiza Helfer</dc:creator>
  <cp:lastModifiedBy>Ana Helfer</cp:lastModifiedBy>
  <dcterms:created xsi:type="dcterms:W3CDTF">2023-06-22T00:42:18Z</dcterms:created>
  <dcterms:modified xsi:type="dcterms:W3CDTF">2024-01-11T15:19:53Z</dcterms:modified>
</cp:coreProperties>
</file>